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Coleta Domiciliar" sheetId="1" r:id="rId1"/>
    <sheet name="Planilha1" sheetId="2" r:id="rId2"/>
  </sheets>
  <externalReferences>
    <externalReference r:id="rId5"/>
  </externalReferences>
  <definedNames>
    <definedName name="_xlnm.Print_Area" localSheetId="0">'Coleta Domiciliar'!$A$4:$F$695</definedName>
    <definedName name="_xlnm.Print_Titles" localSheetId="0">'Coleta Domiciliar'!$1:$7</definedName>
  </definedNames>
  <calcPr fullCalcOnLoad="1"/>
</workbook>
</file>

<file path=xl/sharedStrings.xml><?xml version="1.0" encoding="utf-8"?>
<sst xmlns="http://schemas.openxmlformats.org/spreadsheetml/2006/main" count="1189" uniqueCount="319">
  <si>
    <t>Salário Normal</t>
  </si>
  <si>
    <t>hora</t>
  </si>
  <si>
    <t>Adicional de Insalubridade</t>
  </si>
  <si>
    <t>%</t>
  </si>
  <si>
    <t>Soma</t>
  </si>
  <si>
    <t>Encargos Sociais</t>
  </si>
  <si>
    <t>Total por Motorista</t>
  </si>
  <si>
    <t>Total do Efetivo</t>
  </si>
  <si>
    <t>homem</t>
  </si>
  <si>
    <t>Adicional Noturno</t>
  </si>
  <si>
    <t>Total por Supervisor</t>
  </si>
  <si>
    <t>Total por Técnico</t>
  </si>
  <si>
    <t>mês</t>
  </si>
  <si>
    <t>unidade</t>
  </si>
  <si>
    <t>Colete reflexivo</t>
  </si>
  <si>
    <t>Custo de aquisição dos chassis</t>
  </si>
  <si>
    <t>Custo de aquisição dos compactadores</t>
  </si>
  <si>
    <t>Depreciação dos chassis (60 meses)</t>
  </si>
  <si>
    <t>Remuneração mensal de capital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</si>
  <si>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</si>
  <si>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</si>
  <si>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</si>
  <si>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</si>
  <si>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</si>
  <si>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</si>
  <si>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</si>
  <si>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C. de óleo do motor /1.000 km rodados</t>
  </si>
  <si>
    <t>l/1.000 km</t>
  </si>
  <si>
    <t>Custo mensal com óleo do motor</t>
  </si>
  <si>
    <t>C. de óleo da transmissão /1.000 km</t>
  </si>
  <si>
    <t>Custo mensal com óleo da transmissão</t>
  </si>
  <si>
    <t>Custo mensal com óleo hidráulico</t>
  </si>
  <si>
    <t>Custo de graxa /1.000 km rodados</t>
  </si>
  <si>
    <t>C. de óleo hidráulico / 1.000 km</t>
  </si>
  <si>
    <t>kg/1.000 km</t>
  </si>
  <si>
    <t>Custo mensal com graxa</t>
  </si>
  <si>
    <t>km/jogo</t>
  </si>
  <si>
    <t>Total do Item 3.1</t>
  </si>
  <si>
    <t>Total do Item 3.2</t>
  </si>
  <si>
    <t>Total do Item 3.3</t>
  </si>
  <si>
    <t>Custo de aquisição das caçambas</t>
  </si>
  <si>
    <t>Pá de Concha</t>
  </si>
  <si>
    <t>Vassoura</t>
  </si>
  <si>
    <t>Calça</t>
  </si>
  <si>
    <t>Camiseta</t>
  </si>
  <si>
    <t>Boné</t>
  </si>
  <si>
    <t>Luva de proteção</t>
  </si>
  <si>
    <t>Custo do jogo de pneus 275/80 R 22,5</t>
  </si>
  <si>
    <t>Custo do jogo de pneus 215/75</t>
  </si>
  <si>
    <t>Horas Extras (100%)</t>
  </si>
  <si>
    <t>Horas Extras (50%)</t>
  </si>
  <si>
    <t>CUSTO TOTAL MENSAL COM DESPESAS OPERACIONAIS (R$/mês) ........................................................................................................</t>
  </si>
  <si>
    <t>CUSTOS MENSAL TOTAL (R$/mês) ....................................................................................................</t>
  </si>
  <si>
    <t>Custo mensal com manutenção</t>
  </si>
  <si>
    <t>Síntese dos custos</t>
  </si>
  <si>
    <t>Item</t>
  </si>
  <si>
    <t>Custo (R$/mês)</t>
  </si>
  <si>
    <t>Síntese de quantitativos</t>
  </si>
  <si>
    <t>Mão-de-obra</t>
  </si>
  <si>
    <t>Quantidade</t>
  </si>
  <si>
    <t>Grupo A</t>
  </si>
  <si>
    <t>INSS</t>
  </si>
  <si>
    <t>FGTS</t>
  </si>
  <si>
    <t>Seg. Acid. Trabalho</t>
  </si>
  <si>
    <t>Salário Educação</t>
  </si>
  <si>
    <t>Sebrae</t>
  </si>
  <si>
    <t>Sesi/Sesc/DPC/Faer</t>
  </si>
  <si>
    <t>Senai/Senac/DPC/Faer</t>
  </si>
  <si>
    <t>Incra</t>
  </si>
  <si>
    <t>Sub-total</t>
  </si>
  <si>
    <t>Grupo B</t>
  </si>
  <si>
    <t>Férias</t>
  </si>
  <si>
    <t>Aviso Prévio</t>
  </si>
  <si>
    <t>Auxílio Doença</t>
  </si>
  <si>
    <t>Grupo C</t>
  </si>
  <si>
    <t>13° Salário</t>
  </si>
  <si>
    <t>50% FGTS (rescisões)</t>
  </si>
  <si>
    <t>Incidência cumulativa</t>
  </si>
  <si>
    <t>Grupo A sobre Grupo B</t>
  </si>
  <si>
    <t>FGTS sobre  Aviso Prévio</t>
  </si>
  <si>
    <t>Total para Encargos Sociais</t>
  </si>
  <si>
    <t>CUSTO TOTAL MENSAL COM A COLETA DOMICILIAR</t>
  </si>
  <si>
    <t>Total por Fiscal</t>
  </si>
  <si>
    <t>2. Uniformes e Equipamentos de Proteção Individual</t>
  </si>
  <si>
    <t>Custo Mensal com Mão-de-obra (R$/mês) ..............................................................................................</t>
  </si>
  <si>
    <t>Custo Mensal com Uniformes e EPI's (R$/mês) .........................................................................</t>
  </si>
  <si>
    <t>3.1.1. Depreciação</t>
  </si>
  <si>
    <t>1. Mão-de-obra</t>
  </si>
  <si>
    <t>par</t>
  </si>
  <si>
    <t>frasco 120g</t>
  </si>
  <si>
    <t>litro</t>
  </si>
  <si>
    <t>Custo estim. c/manutenção (60 meses)</t>
  </si>
  <si>
    <t>Depreciação mensal veículos coletores</t>
  </si>
  <si>
    <t>Custo dos veículos coletores</t>
  </si>
  <si>
    <t>Seguro obrigatório</t>
  </si>
  <si>
    <r>
      <t xml:space="preserve">Depreciação compactadores </t>
    </r>
    <r>
      <rPr>
        <sz val="9"/>
        <rFont val="Arial"/>
        <family val="2"/>
      </rPr>
      <t>(60 meses)</t>
    </r>
  </si>
  <si>
    <t>3.2.1. Depreciação</t>
  </si>
  <si>
    <t>3.1.2. Remuneração do Capital  Investido</t>
  </si>
  <si>
    <t>3.1.3. Impostos e Seguros</t>
  </si>
  <si>
    <t>3.1.4. Consumos</t>
  </si>
  <si>
    <t>3.1.5. Manutenção</t>
  </si>
  <si>
    <t>3.2.2.  Remuneração do Capital  Investido</t>
  </si>
  <si>
    <t>3.2.3. Impostos e Seguros</t>
  </si>
  <si>
    <t>3.2.4. Consumos</t>
  </si>
  <si>
    <t>3.2.5. Manutenção</t>
  </si>
  <si>
    <t>3.3.1. Depreciação</t>
  </si>
  <si>
    <t>3.3.2. Remuneração do Capital  Investido</t>
  </si>
  <si>
    <t>3.3.3. Impostos e Seguros</t>
  </si>
  <si>
    <t>3.3.4. Consumos</t>
  </si>
  <si>
    <t>3.3.5. Manutenção</t>
  </si>
  <si>
    <r>
      <t xml:space="preserve">Deprec. dos compactadores </t>
    </r>
    <r>
      <rPr>
        <sz val="9"/>
        <rFont val="Arial"/>
        <family val="2"/>
      </rPr>
      <t>(60 meses)</t>
    </r>
  </si>
  <si>
    <t>3.4.1. Depreciação</t>
  </si>
  <si>
    <t>3.4.2. Remuneração do Capital  Investido</t>
  </si>
  <si>
    <t>3.4.3. Impostos e Seguros</t>
  </si>
  <si>
    <t>3.4.4. Consumos</t>
  </si>
  <si>
    <t>3.4.5. Manutenção</t>
  </si>
  <si>
    <t>Total do Item 3.4</t>
  </si>
  <si>
    <t>Deprec. das caçambas (60 meses)</t>
  </si>
  <si>
    <t xml:space="preserve">Custo dos veículos </t>
  </si>
  <si>
    <t>3. Veículos e Equipamentos</t>
  </si>
  <si>
    <t>Custo Mensal com Veículos e Equipamentos (R$/mês) ................................................................................</t>
  </si>
  <si>
    <t>Combustível (Gasolina)</t>
  </si>
  <si>
    <t>Custo mensal com pneus</t>
  </si>
  <si>
    <t>Custo do jogo de pneus 215/75 R 12,5</t>
  </si>
  <si>
    <t>3.3.6. Pneus</t>
  </si>
  <si>
    <t>Custo Mensal com Monitoramento da Frota (R$/mês) ............................................................</t>
  </si>
  <si>
    <t>Custo Mensal com BDI (R$/mês) .............................................................................................</t>
  </si>
  <si>
    <t>Custo Mensal com Ferramentas e Materiais de Consumo (R$/mês) ..............................................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</si>
  <si>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</si>
  <si>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</si>
  <si>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</si>
  <si>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</si>
  <si>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</si>
  <si>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</si>
  <si>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r>
      <t>Depr. compactadores disp.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>(60 meses)</t>
    </r>
  </si>
  <si>
    <t>3.1.6. Pneus</t>
  </si>
  <si>
    <t>3.2.6. Pneus</t>
  </si>
  <si>
    <t>3.4.6. Pneus</t>
  </si>
  <si>
    <t>Total por Auxiliar Operacional</t>
  </si>
  <si>
    <t>Comunicação móvel</t>
  </si>
  <si>
    <t>(Apoio Operacional)</t>
  </si>
  <si>
    <t>Protetor solar FPS 30</t>
  </si>
  <si>
    <r>
      <t>Lona imperm. 3x4m (caçamba 4m</t>
    </r>
    <r>
      <rPr>
        <i/>
        <sz val="10"/>
        <rFont val="Arial"/>
        <family val="2"/>
      </rPr>
      <t>³</t>
    </r>
    <r>
      <rPr>
        <sz val="10"/>
        <rFont val="Arial"/>
        <family val="2"/>
      </rPr>
      <t>)</t>
    </r>
  </si>
  <si>
    <t>Discriminação</t>
  </si>
  <si>
    <t>Unidade</t>
  </si>
  <si>
    <t>Subtotal</t>
  </si>
  <si>
    <r>
      <t xml:space="preserve">Total </t>
    </r>
    <r>
      <rPr>
        <b/>
        <u val="single"/>
        <sz val="9"/>
        <rFont val="Arial"/>
        <family val="2"/>
      </rPr>
      <t>(R$)</t>
    </r>
  </si>
  <si>
    <t>Preço unitário</t>
  </si>
  <si>
    <t>Meia de algodão com ano alto</t>
  </si>
  <si>
    <t>Jaqueta com reflexivo (NBR 15.292)</t>
  </si>
  <si>
    <t>Camiseta de algodão</t>
  </si>
  <si>
    <t>Tênis de segurança com palmilha aço</t>
  </si>
  <si>
    <t>Capa de chuva amarela com reflexivo</t>
  </si>
  <si>
    <t>Botina de segurança c/ palmilha aço</t>
  </si>
  <si>
    <t>Engenheiro de Segurança do Trabalho</t>
  </si>
  <si>
    <t>Médico do Trabalho</t>
  </si>
  <si>
    <t>posto</t>
  </si>
  <si>
    <t>Higienização de uniformes e EPI's</t>
  </si>
  <si>
    <t>Custo de recapagem</t>
  </si>
  <si>
    <t>Custo jg. compl. + recap. / km rodado</t>
  </si>
  <si>
    <t>Recipiente térmico para água (5L)</t>
  </si>
  <si>
    <t>Total por Coletor</t>
  </si>
  <si>
    <t>2.1. Uniformes e EPI's para Coletor</t>
  </si>
  <si>
    <t>3.3. Veículo Compactador com Capacidade entre 5 e 6 m³</t>
  </si>
  <si>
    <t>3.4. Veículo de Pequeno Porte (tração 4x4), com caçamba basculante metálica de 4m³</t>
  </si>
  <si>
    <t>4. Ferramentas e Materiais de Consumo</t>
  </si>
  <si>
    <t>5. Monitoramento da Frota</t>
  </si>
  <si>
    <t>Horas Extras Noturnas (50%)</t>
  </si>
  <si>
    <t>Composição do BDI - Benefícios e Despesas Indiretas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</si>
  <si>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</si>
  <si>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</si>
  <si>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</si>
  <si>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</si>
  <si>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</si>
  <si>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</si>
  <si>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</si>
  <si>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</si>
  <si>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</si>
  <si>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</si>
  <si>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</si>
  <si>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</si>
  <si>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</si>
  <si>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</si>
  <si>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1.7. Fiscal Turno do Dia</t>
  </si>
  <si>
    <t>1.8. Fiscal Turno da Noite</t>
  </si>
  <si>
    <t>1.9. Supervisor Turno do Dia</t>
  </si>
  <si>
    <t>1.10. Supervisor Turno da Noite</t>
  </si>
  <si>
    <t>1.11. Técnico em Segurança do Trabalho Turno do Dia</t>
  </si>
  <si>
    <t>1.12. Técnico em Segurança do Trabalho Turno da Noite</t>
  </si>
  <si>
    <t>1.13. Auxiliar Operacional Turno do Dia</t>
  </si>
  <si>
    <t>1.14. Auxiliar Operacional Turno da Noite</t>
  </si>
  <si>
    <t>1.15. Outras especialidades (SESMT)</t>
  </si>
  <si>
    <t>1.2. Coletor Turno da Intermediária (Coleta domiciliar e coleta de resíduos públicos)</t>
  </si>
  <si>
    <t>1.5. Motorista Turno da Intermediária (Coleta domiciliar e coleta de resíduos públicos)</t>
  </si>
  <si>
    <t>1.3. Coletor Turno da Madrugada (Coleta de resíduos públicos)</t>
  </si>
  <si>
    <t>1.6. Motorista Turno da Madrugada (Coleta de resíduos públicos)</t>
  </si>
  <si>
    <t>2.2. Uniformes e EPI's para Motorista, Fiscal, Supervisor e Técnico Seg. Trabalho</t>
  </si>
  <si>
    <t>3.2. Veículo Coletor Compactador Truck (Coleta domiciliar)</t>
  </si>
  <si>
    <t>3.5. Veículo Coletor Compactador Toco (Coleta de resíduos públicos)</t>
  </si>
  <si>
    <t>3.5.1. Depreciação</t>
  </si>
  <si>
    <t>3.5.2. Remuneração do Capital  Investido</t>
  </si>
  <si>
    <t>3.5.3. Impostos e Seguros</t>
  </si>
  <si>
    <t>3.5.4. Consumos</t>
  </si>
  <si>
    <t>3.5.5. Manutenção</t>
  </si>
  <si>
    <t>3.5.6. Pneus</t>
  </si>
  <si>
    <t>3.6. Veículos e Equipamentos</t>
  </si>
  <si>
    <t>Total do Item 3.5</t>
  </si>
  <si>
    <t>Capacitação de pessoal (treinamento)</t>
  </si>
  <si>
    <t>Manutenção do sistema de câmeras</t>
  </si>
  <si>
    <t>Manutenção dos equipamentos "GPS"</t>
  </si>
  <si>
    <t>Custo de aquisição dos contêineres</t>
  </si>
  <si>
    <t>Depreciação contêineres (60 meses)</t>
  </si>
  <si>
    <t>Depreciação mensal dos contêineres</t>
  </si>
  <si>
    <t>Custo dos contêineres</t>
  </si>
  <si>
    <t>Custo est. manut./reposição (60 meses)</t>
  </si>
  <si>
    <t>Custo mensal com manut./reposição</t>
  </si>
  <si>
    <t>3.7. Contêiner em PEAD capacidade 1.000L (um mil litros)</t>
  </si>
  <si>
    <t>3.7.1. Depreciação</t>
  </si>
  <si>
    <t>3.7.2. Remuneração do Capital  Investido</t>
  </si>
  <si>
    <t>3.7.3. Manutenção e Reposição de Perdas</t>
  </si>
  <si>
    <t>3.8. Contêiner em PEAD capacidade 360L (trezentos e sessenta litros)</t>
  </si>
  <si>
    <t>3.8.1. Depreciação</t>
  </si>
  <si>
    <t>3.8.2. Remuneração do Capital  Investido</t>
  </si>
  <si>
    <t>3.8.3. Manutenção e Reposição de Perdas</t>
  </si>
  <si>
    <t>Total do Item 3.8</t>
  </si>
  <si>
    <t>Total do Item 3.7</t>
  </si>
  <si>
    <t>Custo aquis. equip. bascul. contêineres</t>
  </si>
  <si>
    <t xml:space="preserve">C. de aquis. equip. basc. contêineres </t>
  </si>
  <si>
    <t>Total por Gerente Operacional</t>
  </si>
  <si>
    <t>Custo de aquisição dos chassis ¹</t>
  </si>
  <si>
    <t>Implantação dos equipamentos "GPS" ²</t>
  </si>
  <si>
    <t>Implantação sistema de câmeras ³</t>
  </si>
  <si>
    <t>² computador de bordo, coletor de dados e mão-de-obra</t>
  </si>
  <si>
    <t>Automóvel 5 passageiros</t>
  </si>
  <si>
    <t>Automóvel utilitário</t>
  </si>
  <si>
    <t>¹ Os chassis cotados possuem cabine para 4 (quatro) tripulantes. Caso a licitante opte por chassis com cabine para 3 (três) tripulantes, deverá prever o custo com transporte para os tripulantes excedentes (Composição das equipes de coleta: Motorista + 3 (três) Coletores).</t>
  </si>
  <si>
    <t>³ câmera externa, gravador, monitor e mão-de-obra</t>
  </si>
  <si>
    <t>Custo de aquisição do Caminhão</t>
  </si>
  <si>
    <t>Turnos Trabalhados na Coleta</t>
  </si>
  <si>
    <t>Total</t>
  </si>
  <si>
    <t>4. Benefícios e Despesas Indiretas - BDI</t>
  </si>
  <si>
    <t>1.1. Coletor (Coleta domiciliar e coleta de resíduos públicos)</t>
  </si>
  <si>
    <t>1.2. Motorista (Coleta domiciliar e coleta de resíduos públicos)</t>
  </si>
  <si>
    <t>1.3. Gerente</t>
  </si>
  <si>
    <t>Turnos Trabalhados na Coleta Regular</t>
  </si>
  <si>
    <t>Turnos Trabalhados na Coleta Interior</t>
  </si>
  <si>
    <t>(A) Total de custos mensais Coleta</t>
  </si>
  <si>
    <t>(B) Despesa com Aterro e Destinação Final</t>
  </si>
  <si>
    <t>CUSTOS TOTAIS</t>
  </si>
  <si>
    <t>Coleta, Transporte e Destinação Final Resíduos Domiciliares</t>
  </si>
  <si>
    <t>CUSTO TOTAL MENSAL</t>
  </si>
  <si>
    <t>Planilha de Composição de Custos (P.O)</t>
  </si>
  <si>
    <t>3.1. Veículo Coletor Compactador Truque (Coleta domiciliar)</t>
  </si>
  <si>
    <t>Turnos Trabalhados na Coleta interior</t>
  </si>
  <si>
    <t>semana</t>
  </si>
  <si>
    <t>dias</t>
  </si>
  <si>
    <t>Administração geral</t>
  </si>
  <si>
    <t>seguros e garantias</t>
  </si>
  <si>
    <t>Riscos</t>
  </si>
  <si>
    <t>despesas financeiras</t>
  </si>
  <si>
    <t>Impostos, PIS e CONFINS</t>
  </si>
  <si>
    <t>Impostos ISS</t>
  </si>
  <si>
    <t>toneladas</t>
  </si>
  <si>
    <t>Preço Unitário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</si>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</sst>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.00_);\(&quot;R$ &quot;#,##0.00\)"/>
    <numFmt numFmtId="179" formatCode="_(* #,##0_);_(* \(#,##0\);_(* &quot;-&quot;_);_(@_)"/>
    <numFmt numFmtId="180" formatCode="_(* #,##0.00_);_(* \(#,##0.00\);_(* &quot;-&quot;??_);_(@_)"/>
    <numFmt numFmtId="181" formatCode="_(&quot;R$&quot;* #,##0_);_(&quot;R$&quot;* \(#,##0\);_(&quot;R$&quot;* &quot;-&quot;_);_(@_)"/>
    <numFmt numFmtId="182" formatCode="_(&quot;R$&quot;* #,##0.00_);_(&quot;R$&quot;* \(#,##0.00\);_(&quot;R$&quot;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0_);_(* \(#,##0.00000\);_(* &quot;-&quot;??_);_(@_)"/>
    <numFmt numFmtId="186" formatCode="&quot;R$ &quot;#,##0.00"/>
    <numFmt numFmtId="187" formatCode="0.0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9"/>
      <color indexed="9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9"/>
      <color theme="0"/>
      <name val="Arial"/>
      <family val="2"/>
    </font>
    <font>
      <b/>
      <sz val="12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i/>
      <sz val="10"/>
      <color theme="0" tint="-0.3499799966812134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20" borderId="5" applyNumberFormat="0" applyAlignment="0" applyProtection="0"/>
    <xf numFmtId="17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80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80" fontId="0" fillId="0" borderId="0" xfId="62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62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0" fontId="0" fillId="0" borderId="10" xfId="62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80" fontId="0" fillId="0" borderId="11" xfId="62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62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180" fontId="0" fillId="0" borderId="13" xfId="62" applyFont="1" applyBorder="1" applyAlignment="1">
      <alignment horizontal="center" vertical="center"/>
    </xf>
    <xf numFmtId="180" fontId="2" fillId="32" borderId="14" xfId="62" applyFont="1" applyFill="1" applyBorder="1" applyAlignment="1">
      <alignment horizontal="center" vertical="center"/>
    </xf>
    <xf numFmtId="180" fontId="2" fillId="32" borderId="14" xfId="62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0" fontId="2" fillId="0" borderId="16" xfId="62" applyFont="1" applyBorder="1" applyAlignment="1">
      <alignment vertical="center"/>
    </xf>
    <xf numFmtId="180" fontId="2" fillId="0" borderId="17" xfId="62" applyFont="1" applyBorder="1" applyAlignment="1">
      <alignment vertical="center"/>
    </xf>
    <xf numFmtId="13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80" fontId="0" fillId="0" borderId="16" xfId="62" applyFont="1" applyBorder="1" applyAlignment="1">
      <alignment vertical="center"/>
    </xf>
    <xf numFmtId="180" fontId="0" fillId="0" borderId="17" xfId="62" applyFont="1" applyBorder="1" applyAlignment="1">
      <alignment vertical="center"/>
    </xf>
    <xf numFmtId="180" fontId="2" fillId="0" borderId="0" xfId="62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80" fontId="2" fillId="0" borderId="0" xfId="62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0" fontId="2" fillId="0" borderId="0" xfId="62" applyFont="1" applyBorder="1" applyAlignment="1">
      <alignment vertical="center"/>
    </xf>
    <xf numFmtId="180" fontId="0" fillId="0" borderId="0" xfId="62" applyFont="1" applyAlignment="1">
      <alignment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0" fontId="0" fillId="33" borderId="0" xfId="62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80" fontId="0" fillId="0" borderId="0" xfId="62" applyFont="1" applyFill="1" applyAlignment="1">
      <alignment vertical="center"/>
    </xf>
    <xf numFmtId="180" fontId="3" fillId="0" borderId="0" xfId="62" applyFont="1" applyAlignment="1">
      <alignment vertical="center"/>
    </xf>
    <xf numFmtId="180" fontId="0" fillId="0" borderId="18" xfId="62" applyFont="1" applyBorder="1" applyAlignment="1">
      <alignment vertical="center"/>
    </xf>
    <xf numFmtId="180" fontId="0" fillId="0" borderId="19" xfId="62" applyFont="1" applyBorder="1" applyAlignment="1">
      <alignment vertical="center"/>
    </xf>
    <xf numFmtId="180" fontId="2" fillId="0" borderId="20" xfId="62" applyFont="1" applyBorder="1" applyAlignment="1">
      <alignment horizontal="center" vertical="center"/>
    </xf>
    <xf numFmtId="180" fontId="2" fillId="0" borderId="15" xfId="62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Continuous" vertical="center"/>
    </xf>
    <xf numFmtId="180" fontId="2" fillId="0" borderId="0" xfId="62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0" fontId="0" fillId="0" borderId="21" xfId="0" applyNumberFormat="1" applyBorder="1" applyAlignment="1">
      <alignment vertical="center"/>
    </xf>
    <xf numFmtId="4" fontId="0" fillId="0" borderId="21" xfId="0" applyNumberFormat="1" applyBorder="1" applyAlignment="1">
      <alignment horizontal="centerContinuous" vertical="center"/>
    </xf>
    <xf numFmtId="180" fontId="0" fillId="0" borderId="21" xfId="62" applyFont="1" applyBorder="1" applyAlignment="1">
      <alignment vertical="center"/>
    </xf>
    <xf numFmtId="180" fontId="2" fillId="0" borderId="22" xfId="62" applyFont="1" applyBorder="1" applyAlignment="1">
      <alignment horizontal="right" vertical="center"/>
    </xf>
    <xf numFmtId="180" fontId="0" fillId="0" borderId="23" xfId="62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2" fontId="0" fillId="0" borderId="11" xfId="0" applyNumberFormat="1" applyFont="1" applyBorder="1" applyAlignment="1">
      <alignment horizontal="center" vertical="center"/>
    </xf>
    <xf numFmtId="180" fontId="0" fillId="0" borderId="0" xfId="6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0" fontId="3" fillId="0" borderId="0" xfId="62" applyFont="1" applyBorder="1" applyAlignment="1">
      <alignment vertical="center"/>
    </xf>
    <xf numFmtId="10" fontId="0" fillId="0" borderId="24" xfId="51" applyNumberFormat="1" applyFont="1" applyBorder="1" applyAlignment="1">
      <alignment vertical="center"/>
    </xf>
    <xf numFmtId="10" fontId="2" fillId="0" borderId="17" xfId="51" applyNumberFormat="1" applyFont="1" applyBorder="1" applyAlignment="1">
      <alignment vertical="center"/>
    </xf>
    <xf numFmtId="180" fontId="0" fillId="0" borderId="11" xfId="62" applyNumberFormat="1" applyFont="1" applyBorder="1" applyAlignment="1">
      <alignment horizontal="center" vertical="center"/>
    </xf>
    <xf numFmtId="180" fontId="0" fillId="0" borderId="0" xfId="62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85" fontId="0" fillId="0" borderId="0" xfId="62" applyNumberFormat="1" applyFont="1" applyAlignment="1">
      <alignment vertical="center"/>
    </xf>
    <xf numFmtId="0" fontId="12" fillId="32" borderId="26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180" fontId="12" fillId="32" borderId="27" xfId="62" applyFont="1" applyFill="1" applyBorder="1" applyAlignment="1">
      <alignment horizontal="center" vertical="center"/>
    </xf>
    <xf numFmtId="180" fontId="12" fillId="32" borderId="28" xfId="62" applyFont="1" applyFill="1" applyBorder="1" applyAlignment="1">
      <alignment horizontal="center" vertical="center"/>
    </xf>
    <xf numFmtId="180" fontId="2" fillId="0" borderId="29" xfId="62" applyFont="1" applyBorder="1" applyAlignment="1">
      <alignment horizontal="center" vertical="center"/>
    </xf>
    <xf numFmtId="180" fontId="0" fillId="0" borderId="23" xfId="62" applyFont="1" applyBorder="1" applyAlignment="1">
      <alignment horizontal="left" vertical="center"/>
    </xf>
    <xf numFmtId="180" fontId="0" fillId="0" borderId="23" xfId="62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180" fontId="0" fillId="0" borderId="21" xfId="62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0" fontId="0" fillId="0" borderId="21" xfId="62" applyFont="1" applyBorder="1" applyAlignment="1">
      <alignment vertical="center"/>
    </xf>
    <xf numFmtId="180" fontId="0" fillId="0" borderId="23" xfId="62" applyFont="1" applyBorder="1" applyAlignment="1">
      <alignment vertical="center"/>
    </xf>
    <xf numFmtId="180" fontId="0" fillId="0" borderId="30" xfId="62" applyFont="1" applyBorder="1" applyAlignment="1">
      <alignment vertical="center"/>
    </xf>
    <xf numFmtId="180" fontId="0" fillId="0" borderId="25" xfId="62" applyFont="1" applyBorder="1" applyAlignment="1">
      <alignment vertical="center"/>
    </xf>
    <xf numFmtId="180" fontId="8" fillId="0" borderId="23" xfId="62" applyFont="1" applyBorder="1" applyAlignment="1">
      <alignment vertical="center"/>
    </xf>
    <xf numFmtId="180" fontId="0" fillId="0" borderId="31" xfId="62" applyFont="1" applyBorder="1" applyAlignment="1">
      <alignment vertical="center"/>
    </xf>
    <xf numFmtId="180" fontId="0" fillId="0" borderId="32" xfId="62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83" fontId="0" fillId="0" borderId="0" xfId="62" applyNumberFormat="1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180" fontId="0" fillId="33" borderId="0" xfId="62" applyFont="1" applyFill="1" applyAlignment="1">
      <alignment vertical="center"/>
    </xf>
    <xf numFmtId="184" fontId="0" fillId="0" borderId="10" xfId="62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83" fontId="0" fillId="0" borderId="0" xfId="0" applyNumberFormat="1" applyFont="1" applyAlignment="1">
      <alignment vertical="center"/>
    </xf>
    <xf numFmtId="1" fontId="0" fillId="0" borderId="33" xfId="62" applyNumberFormat="1" applyFont="1" applyBorder="1" applyAlignment="1">
      <alignment horizontal="center" vertical="center"/>
    </xf>
    <xf numFmtId="1" fontId="0" fillId="0" borderId="34" xfId="62" applyNumberFormat="1" applyFont="1" applyBorder="1" applyAlignment="1">
      <alignment horizontal="center" vertical="center"/>
    </xf>
    <xf numFmtId="1" fontId="0" fillId="0" borderId="35" xfId="62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0" fontId="8" fillId="0" borderId="21" xfId="62" applyFont="1" applyBorder="1" applyAlignment="1">
      <alignment vertical="center"/>
    </xf>
    <xf numFmtId="180" fontId="8" fillId="0" borderId="30" xfId="62" applyFont="1" applyBorder="1" applyAlignment="1">
      <alignment vertical="center"/>
    </xf>
    <xf numFmtId="180" fontId="2" fillId="0" borderId="36" xfId="62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180" fontId="0" fillId="0" borderId="29" xfId="62" applyFont="1" applyBorder="1" applyAlignment="1">
      <alignment vertical="center"/>
    </xf>
    <xf numFmtId="180" fontId="0" fillId="0" borderId="18" xfId="62" applyFont="1" applyBorder="1" applyAlignment="1">
      <alignment vertical="center"/>
    </xf>
    <xf numFmtId="0" fontId="0" fillId="0" borderId="18" xfId="0" applyBorder="1" applyAlignment="1">
      <alignment vertical="center"/>
    </xf>
    <xf numFmtId="1" fontId="0" fillId="0" borderId="20" xfId="6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1" fontId="2" fillId="0" borderId="38" xfId="62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180" fontId="11" fillId="0" borderId="11" xfId="62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0" fontId="0" fillId="0" borderId="10" xfId="62" applyFont="1" applyFill="1" applyBorder="1" applyAlignment="1">
      <alignment horizontal="center" vertical="center"/>
    </xf>
    <xf numFmtId="180" fontId="2" fillId="32" borderId="14" xfId="62" applyNumberFormat="1" applyFont="1" applyFill="1" applyBorder="1" applyAlignment="1">
      <alignment horizontal="center" vertical="center"/>
    </xf>
    <xf numFmtId="180" fontId="0" fillId="0" borderId="11" xfId="62" applyFont="1" applyFill="1" applyBorder="1" applyAlignment="1">
      <alignment horizontal="center" vertical="center"/>
    </xf>
    <xf numFmtId="184" fontId="0" fillId="0" borderId="11" xfId="62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62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80" fontId="0" fillId="0" borderId="25" xfId="62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0" fontId="0" fillId="0" borderId="14" xfId="62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80" fontId="5" fillId="0" borderId="39" xfId="62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80" fontId="5" fillId="0" borderId="0" xfId="62" applyFont="1" applyBorder="1" applyAlignment="1">
      <alignment vertical="center"/>
    </xf>
    <xf numFmtId="180" fontId="5" fillId="0" borderId="41" xfId="62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6" fillId="0" borderId="42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180" fontId="0" fillId="0" borderId="14" xfId="62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180" fontId="63" fillId="34" borderId="0" xfId="62" applyFont="1" applyFill="1" applyAlignment="1">
      <alignment vertical="center"/>
    </xf>
    <xf numFmtId="180" fontId="64" fillId="34" borderId="0" xfId="62" applyFont="1" applyFill="1" applyAlignment="1">
      <alignment vertical="center"/>
    </xf>
    <xf numFmtId="180" fontId="65" fillId="34" borderId="0" xfId="62" applyFont="1" applyFill="1" applyAlignment="1">
      <alignment vertical="center"/>
    </xf>
    <xf numFmtId="0" fontId="63" fillId="34" borderId="0" xfId="0" applyFont="1" applyFill="1" applyAlignment="1">
      <alignment vertical="center"/>
    </xf>
    <xf numFmtId="0" fontId="64" fillId="34" borderId="0" xfId="0" applyFont="1" applyFill="1" applyAlignment="1">
      <alignment vertical="center"/>
    </xf>
    <xf numFmtId="0" fontId="63" fillId="34" borderId="0" xfId="0" applyFont="1" applyFill="1" applyAlignment="1">
      <alignment/>
    </xf>
    <xf numFmtId="180" fontId="66" fillId="34" borderId="0" xfId="62" applyFont="1" applyFill="1" applyAlignment="1">
      <alignment vertical="center"/>
    </xf>
    <xf numFmtId="180" fontId="0" fillId="35" borderId="0" xfId="62" applyFont="1" applyFill="1" applyAlignment="1">
      <alignment vertical="center"/>
    </xf>
    <xf numFmtId="180" fontId="5" fillId="0" borderId="41" xfId="62" applyFont="1" applyBorder="1" applyAlignment="1">
      <alignment horizontal="right" vertical="center"/>
    </xf>
    <xf numFmtId="180" fontId="15" fillId="34" borderId="43" xfId="62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80" fontId="67" fillId="0" borderId="0" xfId="62" applyFont="1" applyAlignment="1">
      <alignment vertical="center"/>
    </xf>
    <xf numFmtId="180" fontId="68" fillId="0" borderId="0" xfId="62" applyFont="1" applyAlignment="1">
      <alignment vertical="center"/>
    </xf>
    <xf numFmtId="180" fontId="67" fillId="34" borderId="0" xfId="62" applyFont="1" applyFill="1" applyAlignment="1">
      <alignment vertical="center"/>
    </xf>
    <xf numFmtId="180" fontId="68" fillId="34" borderId="0" xfId="62" applyFont="1" applyFill="1" applyAlignment="1">
      <alignment vertical="center"/>
    </xf>
    <xf numFmtId="180" fontId="69" fillId="34" borderId="0" xfId="62" applyFont="1" applyFill="1" applyBorder="1" applyAlignment="1">
      <alignment vertical="center"/>
    </xf>
    <xf numFmtId="10" fontId="69" fillId="34" borderId="0" xfId="51" applyNumberFormat="1" applyFont="1" applyFill="1" applyBorder="1" applyAlignment="1">
      <alignment vertical="center"/>
    </xf>
    <xf numFmtId="180" fontId="68" fillId="34" borderId="0" xfId="62" applyFont="1" applyFill="1" applyBorder="1" applyAlignment="1">
      <alignment vertical="center"/>
    </xf>
    <xf numFmtId="180" fontId="70" fillId="34" borderId="0" xfId="62" applyFont="1" applyFill="1" applyBorder="1" applyAlignment="1">
      <alignment vertical="center"/>
    </xf>
    <xf numFmtId="9" fontId="70" fillId="34" borderId="0" xfId="51" applyFont="1" applyFill="1" applyBorder="1" applyAlignment="1">
      <alignment vertical="center"/>
    </xf>
    <xf numFmtId="180" fontId="68" fillId="34" borderId="11" xfId="62" applyFont="1" applyFill="1" applyBorder="1" applyAlignment="1">
      <alignment vertical="center"/>
    </xf>
    <xf numFmtId="10" fontId="68" fillId="34" borderId="11" xfId="51" applyNumberFormat="1" applyFont="1" applyFill="1" applyBorder="1" applyAlignment="1">
      <alignment vertical="center"/>
    </xf>
    <xf numFmtId="180" fontId="69" fillId="34" borderId="11" xfId="62" applyFont="1" applyFill="1" applyBorder="1" applyAlignment="1">
      <alignment vertical="center"/>
    </xf>
    <xf numFmtId="10" fontId="69" fillId="34" borderId="11" xfId="51" applyNumberFormat="1" applyFont="1" applyFill="1" applyBorder="1" applyAlignment="1">
      <alignment vertical="center"/>
    </xf>
    <xf numFmtId="0" fontId="68" fillId="34" borderId="0" xfId="0" applyFont="1" applyFill="1" applyAlignment="1">
      <alignment vertical="center"/>
    </xf>
    <xf numFmtId="10" fontId="70" fillId="34" borderId="0" xfId="51" applyNumberFormat="1" applyFont="1" applyFill="1" applyBorder="1" applyAlignment="1">
      <alignment vertical="center"/>
    </xf>
    <xf numFmtId="4" fontId="68" fillId="34" borderId="0" xfId="0" applyNumberFormat="1" applyFont="1" applyFill="1" applyAlignment="1">
      <alignment vertical="center"/>
    </xf>
    <xf numFmtId="0" fontId="69" fillId="34" borderId="0" xfId="0" applyFont="1" applyFill="1" applyBorder="1" applyAlignment="1">
      <alignment horizontal="left" vertical="center"/>
    </xf>
    <xf numFmtId="0" fontId="68" fillId="34" borderId="44" xfId="0" applyFont="1" applyFill="1" applyBorder="1" applyAlignment="1">
      <alignment horizontal="left" vertical="center"/>
    </xf>
    <xf numFmtId="0" fontId="68" fillId="34" borderId="45" xfId="0" applyFont="1" applyFill="1" applyBorder="1" applyAlignment="1">
      <alignment horizontal="center" vertical="center"/>
    </xf>
    <xf numFmtId="10" fontId="68" fillId="34" borderId="20" xfId="0" applyNumberFormat="1" applyFont="1" applyFill="1" applyBorder="1" applyAlignment="1">
      <alignment horizontal="center" vertical="center"/>
    </xf>
    <xf numFmtId="0" fontId="68" fillId="34" borderId="46" xfId="0" applyFont="1" applyFill="1" applyBorder="1" applyAlignment="1">
      <alignment horizontal="left" vertical="center"/>
    </xf>
    <xf numFmtId="0" fontId="68" fillId="34" borderId="11" xfId="0" applyFont="1" applyFill="1" applyBorder="1" applyAlignment="1">
      <alignment horizontal="center" vertical="center"/>
    </xf>
    <xf numFmtId="10" fontId="68" fillId="34" borderId="33" xfId="0" applyNumberFormat="1" applyFont="1" applyFill="1" applyBorder="1" applyAlignment="1">
      <alignment horizontal="center" vertical="center"/>
    </xf>
    <xf numFmtId="0" fontId="68" fillId="34" borderId="47" xfId="0" applyFont="1" applyFill="1" applyBorder="1" applyAlignment="1">
      <alignment horizontal="left" vertical="center"/>
    </xf>
    <xf numFmtId="10" fontId="68" fillId="34" borderId="35" xfId="0" applyNumberFormat="1" applyFont="1" applyFill="1" applyBorder="1" applyAlignment="1">
      <alignment horizontal="center" vertical="center"/>
    </xf>
    <xf numFmtId="0" fontId="68" fillId="34" borderId="48" xfId="0" applyFont="1" applyFill="1" applyBorder="1" applyAlignment="1">
      <alignment vertical="center"/>
    </xf>
    <xf numFmtId="0" fontId="68" fillId="34" borderId="49" xfId="0" applyFont="1" applyFill="1" applyBorder="1" applyAlignment="1">
      <alignment vertical="center"/>
    </xf>
    <xf numFmtId="10" fontId="68" fillId="34" borderId="50" xfId="0" applyNumberFormat="1" applyFont="1" applyFill="1" applyBorder="1" applyAlignment="1">
      <alignment vertical="center"/>
    </xf>
    <xf numFmtId="0" fontId="68" fillId="34" borderId="36" xfId="0" applyFont="1" applyFill="1" applyBorder="1" applyAlignment="1">
      <alignment horizontal="left" vertical="center"/>
    </xf>
    <xf numFmtId="0" fontId="68" fillId="34" borderId="37" xfId="0" applyFont="1" applyFill="1" applyBorder="1" applyAlignment="1">
      <alignment horizontal="left" vertical="center"/>
    </xf>
    <xf numFmtId="0" fontId="68" fillId="34" borderId="51" xfId="0" applyFont="1" applyFill="1" applyBorder="1" applyAlignment="1">
      <alignment vertical="center"/>
    </xf>
    <xf numFmtId="0" fontId="69" fillId="34" borderId="15" xfId="0" applyFont="1" applyFill="1" applyBorder="1" applyAlignment="1">
      <alignment vertical="center" wrapText="1"/>
    </xf>
    <xf numFmtId="0" fontId="68" fillId="34" borderId="16" xfId="0" applyFont="1" applyFill="1" applyBorder="1" applyAlignment="1">
      <alignment vertical="center"/>
    </xf>
    <xf numFmtId="10" fontId="69" fillId="34" borderId="17" xfId="0" applyNumberFormat="1" applyFont="1" applyFill="1" applyBorder="1" applyAlignment="1">
      <alignment horizontal="center" vertical="center" wrapText="1"/>
    </xf>
    <xf numFmtId="180" fontId="2" fillId="32" borderId="0" xfId="62" applyFont="1" applyFill="1" applyBorder="1" applyAlignment="1">
      <alignment vertical="center"/>
    </xf>
    <xf numFmtId="180" fontId="2" fillId="32" borderId="52" xfId="62" applyFont="1" applyFill="1" applyBorder="1" applyAlignment="1">
      <alignment horizontal="center" vertical="center"/>
    </xf>
    <xf numFmtId="180" fontId="2" fillId="34" borderId="11" xfId="62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71" fillId="0" borderId="53" xfId="0" applyFont="1" applyBorder="1" applyAlignment="1">
      <alignment horizontal="left" vertical="center"/>
    </xf>
    <xf numFmtId="0" fontId="71" fillId="0" borderId="54" xfId="0" applyFont="1" applyBorder="1" applyAlignment="1">
      <alignment horizontal="left" vertical="center"/>
    </xf>
    <xf numFmtId="0" fontId="71" fillId="0" borderId="55" xfId="0" applyFont="1" applyBorder="1" applyAlignment="1">
      <alignment horizontal="left" vertical="center"/>
    </xf>
    <xf numFmtId="10" fontId="72" fillId="0" borderId="55" xfId="0" applyNumberFormat="1" applyFont="1" applyBorder="1" applyAlignment="1">
      <alignment horizontal="right" vertical="center"/>
    </xf>
    <xf numFmtId="10" fontId="71" fillId="0" borderId="55" xfId="0" applyNumberFormat="1" applyFont="1" applyBorder="1" applyAlignment="1">
      <alignment horizontal="right" vertical="center"/>
    </xf>
    <xf numFmtId="0" fontId="73" fillId="0" borderId="54" xfId="0" applyFont="1" applyBorder="1" applyAlignment="1">
      <alignment horizontal="left" vertical="center"/>
    </xf>
    <xf numFmtId="10" fontId="73" fillId="0" borderId="55" xfId="0" applyNumberFormat="1" applyFont="1" applyBorder="1" applyAlignment="1">
      <alignment horizontal="right" vertical="center"/>
    </xf>
    <xf numFmtId="0" fontId="71" fillId="36" borderId="53" xfId="0" applyFont="1" applyFill="1" applyBorder="1" applyAlignment="1">
      <alignment horizontal="left" vertical="center"/>
    </xf>
    <xf numFmtId="0" fontId="73" fillId="36" borderId="54" xfId="0" applyFont="1" applyFill="1" applyBorder="1" applyAlignment="1">
      <alignment horizontal="left" vertical="center"/>
    </xf>
    <xf numFmtId="10" fontId="73" fillId="36" borderId="55" xfId="0" applyNumberFormat="1" applyFont="1" applyFill="1" applyBorder="1" applyAlignment="1">
      <alignment horizontal="right" vertical="center"/>
    </xf>
    <xf numFmtId="0" fontId="4" fillId="0" borderId="54" xfId="0" applyFont="1" applyBorder="1" applyAlignment="1">
      <alignment horizontal="left" vertical="center"/>
    </xf>
    <xf numFmtId="0" fontId="71" fillId="0" borderId="54" xfId="0" applyFont="1" applyBorder="1" applyAlignment="1">
      <alignment horizontal="left" vertical="center" wrapText="1"/>
    </xf>
    <xf numFmtId="0" fontId="71" fillId="37" borderId="56" xfId="0" applyFont="1" applyFill="1" applyBorder="1" applyAlignment="1">
      <alignment horizontal="left" vertical="center"/>
    </xf>
    <xf numFmtId="0" fontId="73" fillId="37" borderId="57" xfId="0" applyFont="1" applyFill="1" applyBorder="1" applyAlignment="1">
      <alignment horizontal="left" vertical="center"/>
    </xf>
    <xf numFmtId="10" fontId="73" fillId="37" borderId="58" xfId="0" applyNumberFormat="1" applyFont="1" applyFill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60" xfId="0" applyNumberFormat="1" applyBorder="1" applyAlignment="1">
      <alignment horizontal="right" vertical="center"/>
    </xf>
    <xf numFmtId="180" fontId="2" fillId="0" borderId="16" xfId="62" applyFont="1" applyBorder="1" applyAlignment="1">
      <alignment horizontal="center" vertical="center"/>
    </xf>
    <xf numFmtId="180" fontId="2" fillId="0" borderId="17" xfId="62" applyFont="1" applyBorder="1" applyAlignment="1">
      <alignment horizontal="center" vertical="center"/>
    </xf>
    <xf numFmtId="180" fontId="0" fillId="0" borderId="23" xfId="62" applyFont="1" applyBorder="1" applyAlignment="1">
      <alignment horizontal="left" vertical="center"/>
    </xf>
    <xf numFmtId="180" fontId="0" fillId="0" borderId="21" xfId="62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180" fontId="2" fillId="0" borderId="15" xfId="62" applyFont="1" applyBorder="1" applyAlignment="1">
      <alignment horizontal="center" vertical="center"/>
    </xf>
    <xf numFmtId="180" fontId="2" fillId="0" borderId="62" xfId="62" applyFont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0" fontId="68" fillId="34" borderId="6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2" fillId="0" borderId="67" xfId="0" applyNumberFormat="1" applyFont="1" applyBorder="1" applyAlignment="1">
      <alignment horizontal="right" vertical="center"/>
    </xf>
    <xf numFmtId="178" fontId="2" fillId="0" borderId="6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80" fontId="2" fillId="0" borderId="45" xfId="62" applyFont="1" applyBorder="1" applyAlignment="1">
      <alignment horizontal="center" vertical="center"/>
    </xf>
    <xf numFmtId="0" fontId="17" fillId="38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DE%20COMPOSI&#199;&#195;O%20DE%20CUS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Coleta Domiciliar"/>
      <sheetName val="2.Encargos Sociais"/>
      <sheetName val="3.CAGED"/>
      <sheetName val="4.BDI"/>
      <sheetName val="5. Depreciação"/>
      <sheetName val="6.Remuneração de capital"/>
      <sheetName val="7. Dimensionamento"/>
    </sheetNames>
    <sheetDataSet>
      <sheetData sheetId="2">
        <row r="30">
          <cell r="C30">
            <v>0.28967428967428965</v>
          </cell>
        </row>
        <row r="31">
          <cell r="C31">
            <v>0.4087714087714088</v>
          </cell>
        </row>
        <row r="32">
          <cell r="C32">
            <v>29.356260595785905</v>
          </cell>
        </row>
        <row r="33">
          <cell r="C33">
            <v>360</v>
          </cell>
        </row>
        <row r="34">
          <cell r="C34">
            <v>10</v>
          </cell>
        </row>
        <row r="35">
          <cell r="C35">
            <v>30</v>
          </cell>
        </row>
        <row r="36">
          <cell r="C36">
            <v>30</v>
          </cell>
        </row>
        <row r="37">
          <cell r="C37">
            <v>36</v>
          </cell>
        </row>
        <row r="38">
          <cell r="C38">
            <v>0.08</v>
          </cell>
        </row>
        <row r="39">
          <cell r="C3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4"/>
  <sheetViews>
    <sheetView tabSelected="1" view="pageBreakPreview" zoomScaleSheetLayoutView="100" zoomScalePageLayoutView="0" workbookViewId="0" topLeftCell="A347">
      <selection activeCell="F694" sqref="F694"/>
    </sheetView>
  </sheetViews>
  <sheetFormatPr defaultColWidth="9.140625" defaultRowHeight="12.75"/>
  <cols>
    <col min="1" max="1" width="33.57421875" style="13" customWidth="1"/>
    <col min="2" max="2" width="10.00390625" style="13" customWidth="1"/>
    <col min="3" max="3" width="11.7109375" style="13" customWidth="1"/>
    <col min="4" max="4" width="16.28125" style="14" customWidth="1"/>
    <col min="5" max="5" width="13.57421875" style="14" customWidth="1"/>
    <col min="6" max="6" width="13.28125" style="14" customWidth="1"/>
    <col min="7" max="16384" width="9.140625" style="13" customWidth="1"/>
  </cols>
  <sheetData>
    <row r="1" spans="1:6" s="5" customFormat="1" ht="12.75" customHeight="1">
      <c r="A1" s="6"/>
      <c r="B1" s="7"/>
      <c r="C1" s="7"/>
      <c r="D1" s="8"/>
      <c r="E1" s="8"/>
      <c r="F1" s="8"/>
    </row>
    <row r="2" spans="1:6" s="5" customFormat="1" ht="12.75" customHeight="1">
      <c r="A2" s="9"/>
      <c r="B2" s="7"/>
      <c r="C2" s="7"/>
      <c r="D2" s="8"/>
      <c r="E2" s="8"/>
      <c r="F2" s="8"/>
    </row>
    <row r="3" spans="1:6" s="5" customFormat="1" ht="15" customHeight="1">
      <c r="A3" s="10"/>
      <c r="B3" s="11"/>
      <c r="C3" s="11"/>
      <c r="D3" s="11"/>
      <c r="E3" s="11"/>
      <c r="F3" s="11"/>
    </row>
    <row r="4" spans="1:6" s="5" customFormat="1" ht="6.75" customHeight="1">
      <c r="A4" s="9"/>
      <c r="B4" s="7"/>
      <c r="C4" s="7"/>
      <c r="D4" s="8"/>
      <c r="E4" s="8"/>
      <c r="F4" s="8"/>
    </row>
    <row r="5" spans="1:6" s="12" customFormat="1" ht="13.5" customHeight="1">
      <c r="A5" s="243" t="s">
        <v>249</v>
      </c>
      <c r="B5" s="243"/>
      <c r="C5" s="243"/>
      <c r="D5" s="243"/>
      <c r="E5" s="243"/>
      <c r="F5" s="243"/>
    </row>
    <row r="6" spans="1:6" s="12" customFormat="1" ht="18" customHeight="1">
      <c r="A6" s="246" t="s">
        <v>251</v>
      </c>
      <c r="B6" s="246"/>
      <c r="C6" s="246"/>
      <c r="D6" s="246"/>
      <c r="E6" s="246"/>
      <c r="F6" s="246"/>
    </row>
    <row r="7" spans="1:6" s="5" customFormat="1" ht="10.5" customHeight="1">
      <c r="A7" s="51"/>
      <c r="B7" s="52"/>
      <c r="C7" s="52"/>
      <c r="D7" s="53"/>
      <c r="E7" s="53"/>
      <c r="F7" s="53"/>
    </row>
    <row r="8" spans="1:6" s="5" customFormat="1" ht="15.75" customHeight="1" thickBot="1">
      <c r="A8" s="54" t="s">
        <v>54</v>
      </c>
      <c r="B8" s="8"/>
      <c r="C8" s="8"/>
      <c r="D8" s="8"/>
      <c r="E8" s="8"/>
      <c r="F8" s="8"/>
    </row>
    <row r="9" spans="1:6" s="5" customFormat="1" ht="15.75" customHeight="1">
      <c r="A9" s="86" t="s">
        <v>55</v>
      </c>
      <c r="B9" s="55"/>
      <c r="C9" s="56"/>
      <c r="D9" s="247" t="s">
        <v>56</v>
      </c>
      <c r="E9" s="247"/>
      <c r="F9" s="57" t="s">
        <v>3</v>
      </c>
    </row>
    <row r="10" spans="1:6" s="5" customFormat="1" ht="15.75" customHeight="1">
      <c r="A10" s="67" t="str">
        <f>+A54</f>
        <v>1. Mão-de-obra</v>
      </c>
      <c r="B10" s="63"/>
      <c r="C10" s="65"/>
      <c r="D10" s="223">
        <f>+F244</f>
        <v>8878.1452224</v>
      </c>
      <c r="E10" s="224"/>
      <c r="F10" s="76">
        <f aca="true" t="shared" si="0" ref="F10:F15">+D10/F$683</f>
        <v>0.5663143662804375</v>
      </c>
    </row>
    <row r="11" spans="1:6" s="5" customFormat="1" ht="15.75" customHeight="1">
      <c r="A11" s="227" t="str">
        <f>+A246</f>
        <v>2. Uniformes e Equipamentos de Proteção Individual</v>
      </c>
      <c r="B11" s="228"/>
      <c r="C11" s="228"/>
      <c r="D11" s="223">
        <f>+F282</f>
        <v>493.885</v>
      </c>
      <c r="E11" s="224"/>
      <c r="F11" s="76">
        <f t="shared" si="0"/>
        <v>0.03150367151966963</v>
      </c>
    </row>
    <row r="12" spans="1:6" s="5" customFormat="1" ht="15.75" customHeight="1">
      <c r="A12" s="87" t="str">
        <f>+A284</f>
        <v>3. Veículos e Equipamentos</v>
      </c>
      <c r="B12" s="64"/>
      <c r="C12" s="65"/>
      <c r="D12" s="223">
        <f>+F639</f>
        <v>3483.288867777778</v>
      </c>
      <c r="E12" s="224"/>
      <c r="F12" s="76">
        <f t="shared" si="0"/>
        <v>0.22219016228189367</v>
      </c>
    </row>
    <row r="13" spans="1:6" s="5" customFormat="1" ht="15.75" customHeight="1" hidden="1">
      <c r="A13" s="88" t="str">
        <f>+A641</f>
        <v>4. Ferramentas e Materiais de Consumo</v>
      </c>
      <c r="B13" s="64"/>
      <c r="C13" s="65"/>
      <c r="D13" s="223">
        <f>+F652</f>
        <v>0</v>
      </c>
      <c r="E13" s="224"/>
      <c r="F13" s="76">
        <f t="shared" si="0"/>
        <v>0</v>
      </c>
    </row>
    <row r="14" spans="1:6" s="5" customFormat="1" ht="15.75" customHeight="1" hidden="1">
      <c r="A14" s="88" t="str">
        <f>+A654</f>
        <v>5. Monitoramento da Frota</v>
      </c>
      <c r="B14" s="64"/>
      <c r="C14" s="65"/>
      <c r="D14" s="223">
        <f>+F666</f>
        <v>0</v>
      </c>
      <c r="E14" s="224"/>
      <c r="F14" s="76">
        <f t="shared" si="0"/>
        <v>0</v>
      </c>
    </row>
    <row r="15" spans="1:6" s="5" customFormat="1" ht="15.75" customHeight="1" thickBot="1">
      <c r="A15" s="88" t="str">
        <f>+A670</f>
        <v>4. Benefícios e Despesas Indiretas - BDI</v>
      </c>
      <c r="B15" s="64"/>
      <c r="C15" s="65"/>
      <c r="D15" s="223">
        <f>+F681</f>
        <v>2821.742540294022</v>
      </c>
      <c r="E15" s="224"/>
      <c r="F15" s="76">
        <f t="shared" si="0"/>
        <v>0.17999179991799916</v>
      </c>
    </row>
    <row r="16" spans="1:6" s="5" customFormat="1" ht="15.75" customHeight="1" thickBot="1">
      <c r="A16" s="58" t="s">
        <v>81</v>
      </c>
      <c r="B16" s="59"/>
      <c r="C16" s="31"/>
      <c r="D16" s="244">
        <f>SUM(D10:E15)</f>
        <v>15677.0616304718</v>
      </c>
      <c r="E16" s="245"/>
      <c r="F16" s="77">
        <f>SUM(F10:F15)</f>
        <v>1</v>
      </c>
    </row>
    <row r="17" ht="6.75" customHeight="1"/>
    <row r="18" spans="1:6" s="5" customFormat="1" ht="7.5" customHeight="1">
      <c r="A18" s="48"/>
      <c r="B18" s="49"/>
      <c r="C18" s="49"/>
      <c r="D18" s="50"/>
      <c r="E18" s="50"/>
      <c r="F18" s="50"/>
    </row>
    <row r="19" ht="6" customHeight="1"/>
    <row r="20" spans="1:6" s="5" customFormat="1" ht="15" customHeight="1" thickBot="1">
      <c r="A20" s="54" t="s">
        <v>57</v>
      </c>
      <c r="B20" s="14"/>
      <c r="C20" s="14"/>
      <c r="D20" s="14"/>
      <c r="E20" s="14"/>
      <c r="F20" s="14"/>
    </row>
    <row r="21" spans="1:6" s="5" customFormat="1" ht="15" customHeight="1" thickBot="1">
      <c r="A21" s="234" t="s">
        <v>58</v>
      </c>
      <c r="B21" s="225"/>
      <c r="C21" s="225"/>
      <c r="D21" s="235"/>
      <c r="E21" s="66" t="s">
        <v>59</v>
      </c>
      <c r="F21" s="14"/>
    </row>
    <row r="22" spans="1:6" s="5" customFormat="1" ht="15" customHeight="1">
      <c r="A22" s="117" t="str">
        <f>+A56</f>
        <v>1.1. Coletor (Coleta domiciliar e coleta de resíduos públicos)</v>
      </c>
      <c r="B22" s="118"/>
      <c r="C22" s="118"/>
      <c r="D22" s="119"/>
      <c r="E22" s="120">
        <f>+C65</f>
        <v>2</v>
      </c>
      <c r="F22" s="14"/>
    </row>
    <row r="23" spans="1:6" s="5" customFormat="1" ht="15" customHeight="1" hidden="1">
      <c r="A23" s="96" t="str">
        <f>+A70</f>
        <v>1.2. Coletor Turno da Intermediária (Coleta domiciliar e coleta de resíduos públicos)</v>
      </c>
      <c r="B23" s="92"/>
      <c r="C23" s="92"/>
      <c r="D23" s="121"/>
      <c r="E23" s="107">
        <f>+C79</f>
        <v>0</v>
      </c>
      <c r="F23" s="14"/>
    </row>
    <row r="24" spans="1:6" s="5" customFormat="1" ht="15" customHeight="1" hidden="1">
      <c r="A24" s="93" t="str">
        <f>+A82</f>
        <v>1.3. Coletor Turno da Madrugada (Coleta de resíduos públicos)</v>
      </c>
      <c r="B24" s="92"/>
      <c r="C24" s="92"/>
      <c r="D24" s="121"/>
      <c r="E24" s="107">
        <f>+C91</f>
        <v>0</v>
      </c>
      <c r="F24" s="14"/>
    </row>
    <row r="25" spans="1:6" s="5" customFormat="1" ht="15" customHeight="1">
      <c r="A25" s="93" t="str">
        <f>+A94</f>
        <v>1.2. Motorista (Coleta domiciliar e coleta de resíduos públicos)</v>
      </c>
      <c r="B25" s="92"/>
      <c r="C25" s="92"/>
      <c r="D25" s="121"/>
      <c r="E25" s="107">
        <f>+C103</f>
        <v>1</v>
      </c>
      <c r="F25" s="14"/>
    </row>
    <row r="26" spans="1:6" s="5" customFormat="1" ht="15" customHeight="1" hidden="1">
      <c r="A26" s="96" t="str">
        <f>+A109</f>
        <v>1.5. Motorista Turno da Intermediária (Coleta domiciliar e coleta de resíduos públicos)</v>
      </c>
      <c r="B26" s="92"/>
      <c r="C26" s="92"/>
      <c r="D26" s="121"/>
      <c r="E26" s="107">
        <f>+C118</f>
        <v>0</v>
      </c>
      <c r="F26" s="14"/>
    </row>
    <row r="27" spans="1:6" s="5" customFormat="1" ht="15" customHeight="1" hidden="1">
      <c r="A27" s="93" t="str">
        <f>+A121</f>
        <v>1.6. Motorista Turno da Madrugada (Coleta de resíduos públicos)</v>
      </c>
      <c r="B27" s="92"/>
      <c r="C27" s="92"/>
      <c r="D27" s="121"/>
      <c r="E27" s="107">
        <f>+C130</f>
        <v>0</v>
      </c>
      <c r="F27" s="14"/>
    </row>
    <row r="28" spans="1:6" s="5" customFormat="1" ht="15" customHeight="1" hidden="1">
      <c r="A28" s="93" t="str">
        <f>+A133</f>
        <v>1.7. Fiscal Turno do Dia</v>
      </c>
      <c r="B28" s="92"/>
      <c r="C28" s="92"/>
      <c r="D28" s="121"/>
      <c r="E28" s="107">
        <f>+C142</f>
        <v>0</v>
      </c>
      <c r="F28" s="14"/>
    </row>
    <row r="29" spans="1:6" s="5" customFormat="1" ht="15" customHeight="1" hidden="1">
      <c r="A29" s="93" t="str">
        <f>+A145</f>
        <v>1.8. Fiscal Turno da Noite</v>
      </c>
      <c r="B29" s="92"/>
      <c r="C29" s="92"/>
      <c r="D29" s="121"/>
      <c r="E29" s="107">
        <f>+C155</f>
        <v>0</v>
      </c>
      <c r="F29" s="14"/>
    </row>
    <row r="30" spans="1:6" s="5" customFormat="1" ht="15" customHeight="1" hidden="1">
      <c r="A30" s="93" t="str">
        <f>+A158</f>
        <v>1.9. Supervisor Turno do Dia</v>
      </c>
      <c r="B30" s="92"/>
      <c r="C30" s="92"/>
      <c r="D30" s="121"/>
      <c r="E30" s="107">
        <f>+C166</f>
        <v>0</v>
      </c>
      <c r="F30" s="14"/>
    </row>
    <row r="31" spans="1:6" s="5" customFormat="1" ht="15" customHeight="1" hidden="1">
      <c r="A31" s="93" t="str">
        <f>+A169</f>
        <v>1.10. Supervisor Turno da Noite</v>
      </c>
      <c r="B31" s="92"/>
      <c r="C31" s="92"/>
      <c r="D31" s="121"/>
      <c r="E31" s="107">
        <f>+C178</f>
        <v>0</v>
      </c>
      <c r="F31" s="14"/>
    </row>
    <row r="32" spans="1:6" s="5" customFormat="1" ht="15" customHeight="1" hidden="1">
      <c r="A32" s="93" t="str">
        <f>+A181</f>
        <v>1.11. Técnico em Segurança do Trabalho Turno do Dia</v>
      </c>
      <c r="B32" s="92"/>
      <c r="C32" s="92"/>
      <c r="D32" s="121"/>
      <c r="E32" s="107">
        <f>+C190</f>
        <v>0</v>
      </c>
      <c r="F32" s="14"/>
    </row>
    <row r="33" spans="1:6" s="5" customFormat="1" ht="15" customHeight="1" hidden="1">
      <c r="A33" s="93" t="str">
        <f>+A193</f>
        <v>1.12. Técnico em Segurança do Trabalho Turno da Noite</v>
      </c>
      <c r="B33" s="92"/>
      <c r="C33" s="92"/>
      <c r="D33" s="121"/>
      <c r="E33" s="107">
        <f>+C203</f>
        <v>0</v>
      </c>
      <c r="F33" s="14"/>
    </row>
    <row r="34" spans="1:6" s="5" customFormat="1" ht="15" customHeight="1" hidden="1">
      <c r="A34" s="93" t="str">
        <f>+A206</f>
        <v>1.13. Auxiliar Operacional Turno do Dia</v>
      </c>
      <c r="B34" s="92"/>
      <c r="C34" s="92"/>
      <c r="D34" s="121"/>
      <c r="E34" s="107">
        <f>+C214</f>
        <v>0</v>
      </c>
      <c r="F34" s="14"/>
    </row>
    <row r="35" spans="1:6" s="5" customFormat="1" ht="15" customHeight="1" hidden="1">
      <c r="A35" s="93" t="str">
        <f>+A217</f>
        <v>1.14. Auxiliar Operacional Turno da Noite</v>
      </c>
      <c r="B35" s="92"/>
      <c r="C35" s="92"/>
      <c r="D35" s="121"/>
      <c r="E35" s="107">
        <f>+C226</f>
        <v>0</v>
      </c>
      <c r="F35" s="14"/>
    </row>
    <row r="36" spans="1:6" s="5" customFormat="1" ht="15" customHeight="1" hidden="1">
      <c r="A36" s="96" t="str">
        <f>+A229</f>
        <v>1.15. Outras especialidades (SESMT)</v>
      </c>
      <c r="B36" s="113" t="str">
        <f>+A231</f>
        <v>Engenheiro de Segurança do Trabalho</v>
      </c>
      <c r="C36" s="113"/>
      <c r="D36" s="121"/>
      <c r="E36" s="107">
        <f>+C231</f>
        <v>0</v>
      </c>
      <c r="F36" s="14"/>
    </row>
    <row r="37" spans="1:6" s="5" customFormat="1" ht="15" customHeight="1" hidden="1">
      <c r="A37" s="96" t="str">
        <f>+A36</f>
        <v>1.15. Outras especialidades (SESMT)</v>
      </c>
      <c r="B37" s="113" t="str">
        <f>+A232</f>
        <v>Médico do Trabalho</v>
      </c>
      <c r="C37" s="113"/>
      <c r="D37" s="121"/>
      <c r="E37" s="107">
        <f>+C232</f>
        <v>0</v>
      </c>
      <c r="F37" s="14"/>
    </row>
    <row r="38" spans="1:6" s="5" customFormat="1" ht="15" customHeight="1" thickBot="1">
      <c r="A38" s="97" t="str">
        <f>+A235</f>
        <v>1.3. Gerente</v>
      </c>
      <c r="B38" s="98"/>
      <c r="C38" s="98"/>
      <c r="D38" s="123"/>
      <c r="E38" s="109">
        <f>+C239</f>
        <v>1</v>
      </c>
      <c r="F38" s="14"/>
    </row>
    <row r="39" spans="1:6" s="5" customFormat="1" ht="15" customHeight="1" thickBot="1">
      <c r="A39" s="115" t="s">
        <v>131</v>
      </c>
      <c r="B39" s="116"/>
      <c r="C39" s="116"/>
      <c r="D39" s="122"/>
      <c r="E39" s="124">
        <f>E22+E25+E38</f>
        <v>4</v>
      </c>
      <c r="F39" s="14"/>
    </row>
    <row r="40" spans="1:6" s="5" customFormat="1" ht="15" customHeight="1" thickBot="1">
      <c r="A40" s="60"/>
      <c r="B40" s="61"/>
      <c r="C40" s="14"/>
      <c r="D40" s="14"/>
      <c r="E40" s="14"/>
      <c r="F40" s="14"/>
    </row>
    <row r="41" spans="1:6" s="5" customFormat="1" ht="15" customHeight="1">
      <c r="A41" s="238" t="s">
        <v>128</v>
      </c>
      <c r="B41" s="239"/>
      <c r="C41" s="239"/>
      <c r="D41" s="239"/>
      <c r="E41" s="66" t="s">
        <v>59</v>
      </c>
      <c r="F41" s="13"/>
    </row>
    <row r="42" spans="1:6" s="5" customFormat="1" ht="15" customHeight="1">
      <c r="A42" s="93" t="str">
        <f>+A286</f>
        <v>3.1. Veículo Coletor Compactador Truque (Coleta domiciliar)</v>
      </c>
      <c r="B42" s="92"/>
      <c r="C42" s="92"/>
      <c r="D42" s="91"/>
      <c r="E42" s="107">
        <f>+C290</f>
        <v>1</v>
      </c>
      <c r="F42" s="13"/>
    </row>
    <row r="43" spans="1:6" s="5" customFormat="1" ht="15" customHeight="1" hidden="1">
      <c r="A43" s="93" t="str">
        <f>+A351</f>
        <v>3.2. Veículo Coletor Compactador Truck (Coleta domiciliar)</v>
      </c>
      <c r="B43" s="92"/>
      <c r="C43" s="92"/>
      <c r="D43" s="91"/>
      <c r="E43" s="107">
        <f>+C355</f>
        <v>0</v>
      </c>
      <c r="F43" s="13"/>
    </row>
    <row r="44" spans="1:6" s="5" customFormat="1" ht="15" customHeight="1" hidden="1">
      <c r="A44" s="93" t="str">
        <f>+A409</f>
        <v>3.3. Veículo Compactador com Capacidade entre 5 e 6 m³</v>
      </c>
      <c r="B44" s="92"/>
      <c r="C44" s="92"/>
      <c r="D44" s="91"/>
      <c r="E44" s="107">
        <f>+C413</f>
        <v>0</v>
      </c>
      <c r="F44" s="106"/>
    </row>
    <row r="45" spans="1:6" s="5" customFormat="1" ht="15" customHeight="1" hidden="1">
      <c r="A45" s="96" t="str">
        <f>+A466</f>
        <v>3.4. Veículo de Pequeno Porte (tração 4x4), com caçamba basculante metálica de 4m³</v>
      </c>
      <c r="B45" s="92"/>
      <c r="C45" s="92"/>
      <c r="D45" s="91"/>
      <c r="E45" s="107">
        <f>+C470</f>
        <v>0</v>
      </c>
      <c r="F45" s="13"/>
    </row>
    <row r="46" spans="1:6" s="5" customFormat="1" ht="15" customHeight="1" hidden="1">
      <c r="A46" s="114" t="str">
        <f>+A523</f>
        <v>3.5. Veículo Coletor Compactador Toco (Coleta de resíduos públicos)</v>
      </c>
      <c r="B46" s="95"/>
      <c r="C46" s="95"/>
      <c r="D46" s="80"/>
      <c r="E46" s="108">
        <f>+C527</f>
        <v>0</v>
      </c>
      <c r="F46" s="13"/>
    </row>
    <row r="47" spans="1:6" s="5" customFormat="1" ht="15" customHeight="1" hidden="1">
      <c r="A47" s="94" t="str">
        <f>+A582</f>
        <v>3.6. Veículos e Equipamentos</v>
      </c>
      <c r="B47" s="95" t="str">
        <f>+A585</f>
        <v>Automóvel 5 passageiros</v>
      </c>
      <c r="C47" s="95"/>
      <c r="D47" s="80"/>
      <c r="E47" s="108">
        <f>+C585</f>
        <v>0</v>
      </c>
      <c r="F47" s="13"/>
    </row>
    <row r="48" spans="1:6" s="5" customFormat="1" ht="15" customHeight="1" hidden="1">
      <c r="A48" s="94" t="str">
        <f>+A582</f>
        <v>3.6. Veículos e Equipamentos</v>
      </c>
      <c r="B48" s="95" t="str">
        <f>+A586</f>
        <v>Automóvel utilitário</v>
      </c>
      <c r="C48" s="95"/>
      <c r="D48" s="80"/>
      <c r="E48" s="108">
        <f>+C586</f>
        <v>0</v>
      </c>
      <c r="F48" s="106"/>
    </row>
    <row r="49" spans="1:6" s="5" customFormat="1" ht="15" customHeight="1" hidden="1">
      <c r="A49" s="94" t="str">
        <f>+A591</f>
        <v>3.7. Contêiner em PEAD capacidade 1.000L (um mil litros)</v>
      </c>
      <c r="B49" s="95"/>
      <c r="C49" s="95"/>
      <c r="D49" s="80"/>
      <c r="E49" s="108">
        <f>+C595</f>
        <v>0</v>
      </c>
      <c r="F49" s="106"/>
    </row>
    <row r="50" spans="1:6" s="5" customFormat="1" ht="15" customHeight="1" hidden="1" thickBot="1">
      <c r="A50" s="97" t="str">
        <f>+A615</f>
        <v>3.8. Contêiner em PEAD capacidade 360L (trezentos e sessenta litros)</v>
      </c>
      <c r="B50" s="98"/>
      <c r="C50" s="98"/>
      <c r="D50" s="99"/>
      <c r="E50" s="109">
        <f>+C619</f>
        <v>0</v>
      </c>
      <c r="F50" s="106"/>
    </row>
    <row r="51" spans="1:6" s="5" customFormat="1" ht="11.25" customHeight="1">
      <c r="A51" s="79"/>
      <c r="B51" s="79"/>
      <c r="C51" s="79"/>
      <c r="D51" s="71"/>
      <c r="E51" s="100"/>
      <c r="F51" s="13"/>
    </row>
    <row r="52" spans="1:6" s="5" customFormat="1" ht="7.5" customHeight="1">
      <c r="A52" s="101"/>
      <c r="B52" s="102"/>
      <c r="C52" s="102"/>
      <c r="D52" s="103"/>
      <c r="E52" s="103"/>
      <c r="F52" s="103"/>
    </row>
    <row r="53" spans="1:6" s="5" customFormat="1" ht="15.75" customHeight="1">
      <c r="A53" s="79"/>
      <c r="B53" s="79"/>
      <c r="C53" s="79"/>
      <c r="D53" s="71"/>
      <c r="E53" s="100"/>
      <c r="F53" s="13"/>
    </row>
    <row r="54" ht="12.75" customHeight="1">
      <c r="A54" s="15" t="s">
        <v>87</v>
      </c>
    </row>
    <row r="55" ht="11.25" customHeight="1"/>
    <row r="56" ht="13.5" customHeight="1" thickBot="1">
      <c r="A56" s="13" t="s">
        <v>241</v>
      </c>
    </row>
    <row r="57" spans="1:6" ht="13.5" customHeight="1" thickBot="1">
      <c r="A57" s="82" t="s">
        <v>143</v>
      </c>
      <c r="B57" s="83" t="s">
        <v>144</v>
      </c>
      <c r="C57" s="83" t="s">
        <v>59</v>
      </c>
      <c r="D57" s="84" t="s">
        <v>147</v>
      </c>
      <c r="E57" s="84" t="s">
        <v>145</v>
      </c>
      <c r="F57" s="85" t="s">
        <v>146</v>
      </c>
    </row>
    <row r="58" spans="1:5" ht="12.75" customHeight="1">
      <c r="A58" s="17" t="s">
        <v>0</v>
      </c>
      <c r="B58" s="18" t="s">
        <v>12</v>
      </c>
      <c r="C58" s="18">
        <v>1</v>
      </c>
      <c r="D58" s="19">
        <v>1549.47</v>
      </c>
      <c r="E58" s="19">
        <f>C58*D58</f>
        <v>1549.47</v>
      </c>
    </row>
    <row r="59" spans="1:5" ht="12.75" hidden="1">
      <c r="A59" s="20" t="s">
        <v>49</v>
      </c>
      <c r="B59" s="21" t="s">
        <v>1</v>
      </c>
      <c r="C59" s="44">
        <v>0</v>
      </c>
      <c r="D59" s="22">
        <f>D58/220*2</f>
        <v>14.08609090909091</v>
      </c>
      <c r="E59" s="22">
        <f>C59*D59</f>
        <v>0</v>
      </c>
    </row>
    <row r="60" spans="1:5" ht="12.75" customHeight="1" hidden="1">
      <c r="A60" s="20" t="s">
        <v>50</v>
      </c>
      <c r="B60" s="21" t="s">
        <v>1</v>
      </c>
      <c r="C60" s="44">
        <v>0</v>
      </c>
      <c r="D60" s="22">
        <f>D58/220*1.5</f>
        <v>10.564568181818181</v>
      </c>
      <c r="E60" s="22">
        <f>C60*D60</f>
        <v>0</v>
      </c>
    </row>
    <row r="61" spans="1:5" ht="12.75">
      <c r="A61" s="20" t="s">
        <v>2</v>
      </c>
      <c r="B61" s="21" t="s">
        <v>3</v>
      </c>
      <c r="C61" s="21">
        <v>40</v>
      </c>
      <c r="D61" s="22">
        <f>D58</f>
        <v>1549.47</v>
      </c>
      <c r="E61" s="22">
        <f>C61*D61/100</f>
        <v>619.788</v>
      </c>
    </row>
    <row r="62" spans="1:5" ht="12.75">
      <c r="A62" s="25" t="s">
        <v>4</v>
      </c>
      <c r="B62" s="23"/>
      <c r="C62" s="23"/>
      <c r="D62" s="24"/>
      <c r="E62" s="26">
        <f>SUM(E58:E61)</f>
        <v>2169.258</v>
      </c>
    </row>
    <row r="63" spans="1:5" ht="12.75">
      <c r="A63" s="20" t="s">
        <v>5</v>
      </c>
      <c r="B63" s="21" t="s">
        <v>3</v>
      </c>
      <c r="C63" s="21">
        <v>64.76</v>
      </c>
      <c r="D63" s="22">
        <v>1908.2</v>
      </c>
      <c r="E63" s="22">
        <f>D63*C63/100</f>
        <v>1235.75032</v>
      </c>
    </row>
    <row r="64" spans="1:5" ht="12.75">
      <c r="A64" s="25" t="s">
        <v>161</v>
      </c>
      <c r="B64" s="23"/>
      <c r="C64" s="23"/>
      <c r="D64" s="24"/>
      <c r="E64" s="26">
        <f>E62+E63</f>
        <v>3405.00832</v>
      </c>
    </row>
    <row r="65" spans="1:5" ht="12.75">
      <c r="A65" s="20" t="s">
        <v>7</v>
      </c>
      <c r="B65" s="21" t="s">
        <v>8</v>
      </c>
      <c r="C65" s="112">
        <v>2</v>
      </c>
      <c r="D65" s="22">
        <f>E64</f>
        <v>3405.00832</v>
      </c>
      <c r="E65" s="22">
        <f>C65*D65</f>
        <v>6810.01664</v>
      </c>
    </row>
    <row r="66" spans="1:5" ht="12.75">
      <c r="A66" s="71"/>
      <c r="B66" s="135" t="s">
        <v>254</v>
      </c>
      <c r="C66" s="136" t="s">
        <v>255</v>
      </c>
      <c r="D66" s="137"/>
      <c r="E66" s="137"/>
    </row>
    <row r="67" spans="1:5" ht="13.5" thickBot="1">
      <c r="A67" s="20" t="s">
        <v>244</v>
      </c>
      <c r="B67" s="21">
        <v>6.9</v>
      </c>
      <c r="C67" s="112">
        <v>12</v>
      </c>
      <c r="D67" s="22">
        <f>E65/C67</f>
        <v>567.5013866666667</v>
      </c>
      <c r="E67" s="22">
        <f>D67*B67</f>
        <v>3915.7595680000004</v>
      </c>
    </row>
    <row r="68" spans="1:6" ht="13.5" thickBot="1">
      <c r="A68" s="20" t="s">
        <v>245</v>
      </c>
      <c r="B68" s="21">
        <v>0.17</v>
      </c>
      <c r="C68" s="112">
        <v>2</v>
      </c>
      <c r="D68" s="22">
        <f>E65/C68</f>
        <v>3405.00832</v>
      </c>
      <c r="E68" s="22">
        <f>D68*B68</f>
        <v>578.8514144000001</v>
      </c>
      <c r="F68" s="27">
        <f>E67+E68</f>
        <v>4494.6109824000005</v>
      </c>
    </row>
    <row r="69" ht="11.25" customHeight="1"/>
    <row r="70" spans="1:6" ht="13.5" hidden="1" thickBot="1">
      <c r="A70" s="13" t="s">
        <v>192</v>
      </c>
      <c r="F70" s="85" t="s">
        <v>146</v>
      </c>
    </row>
    <row r="71" spans="1:5" ht="13.5" hidden="1" thickBot="1">
      <c r="A71" s="82" t="s">
        <v>143</v>
      </c>
      <c r="B71" s="83" t="s">
        <v>144</v>
      </c>
      <c r="C71" s="83" t="s">
        <v>59</v>
      </c>
      <c r="D71" s="84" t="s">
        <v>147</v>
      </c>
      <c r="E71" s="84" t="s">
        <v>145</v>
      </c>
    </row>
    <row r="72" spans="1:5" ht="12.75" hidden="1">
      <c r="A72" s="17" t="s">
        <v>0</v>
      </c>
      <c r="B72" s="18" t="s">
        <v>12</v>
      </c>
      <c r="C72" s="18">
        <v>0</v>
      </c>
      <c r="D72" s="19">
        <f>D58</f>
        <v>1549.47</v>
      </c>
      <c r="E72" s="19">
        <f>C72*D72</f>
        <v>0</v>
      </c>
    </row>
    <row r="73" spans="1:5" ht="12.75" hidden="1">
      <c r="A73" s="20" t="s">
        <v>49</v>
      </c>
      <c r="B73" s="21" t="s">
        <v>1</v>
      </c>
      <c r="C73" s="21">
        <v>0</v>
      </c>
      <c r="D73" s="22">
        <f>D72/220*2</f>
        <v>14.08609090909091</v>
      </c>
      <c r="E73" s="22">
        <f>C73*D73</f>
        <v>0</v>
      </c>
    </row>
    <row r="74" spans="1:5" ht="12.75" hidden="1">
      <c r="A74" s="20" t="s">
        <v>2</v>
      </c>
      <c r="B74" s="21" t="s">
        <v>3</v>
      </c>
      <c r="C74" s="21">
        <v>0</v>
      </c>
      <c r="D74" s="22">
        <f>D72</f>
        <v>1549.47</v>
      </c>
      <c r="E74" s="22">
        <f>C74*D74/100</f>
        <v>0</v>
      </c>
    </row>
    <row r="75" spans="1:5" ht="12.75" hidden="1">
      <c r="A75" s="20" t="s">
        <v>9</v>
      </c>
      <c r="B75" s="21" t="s">
        <v>1</v>
      </c>
      <c r="C75" s="44">
        <v>0</v>
      </c>
      <c r="D75" s="22">
        <f>D72/220*0.2</f>
        <v>1.4086090909090911</v>
      </c>
      <c r="E75" s="22">
        <f>C75*D75</f>
        <v>0</v>
      </c>
    </row>
    <row r="76" spans="1:5" ht="12.75" hidden="1">
      <c r="A76" s="25" t="s">
        <v>4</v>
      </c>
      <c r="B76" s="23"/>
      <c r="C76" s="23"/>
      <c r="D76" s="24"/>
      <c r="E76" s="26">
        <f>SUM(E72:E75)</f>
        <v>0</v>
      </c>
    </row>
    <row r="77" spans="1:5" ht="12.75" hidden="1">
      <c r="A77" s="20" t="s">
        <v>5</v>
      </c>
      <c r="B77" s="21" t="s">
        <v>3</v>
      </c>
      <c r="C77" s="21">
        <v>0</v>
      </c>
      <c r="D77" s="22">
        <f>E76</f>
        <v>0</v>
      </c>
      <c r="E77" s="22">
        <f>D77*C77/100</f>
        <v>0</v>
      </c>
    </row>
    <row r="78" spans="1:5" ht="12.75" hidden="1">
      <c r="A78" s="25" t="s">
        <v>161</v>
      </c>
      <c r="B78" s="23"/>
      <c r="C78" s="23"/>
      <c r="D78" s="24"/>
      <c r="E78" s="26">
        <f>E76+E77</f>
        <v>0</v>
      </c>
    </row>
    <row r="79" spans="1:6" ht="13.5" hidden="1" thickBot="1">
      <c r="A79" s="20" t="s">
        <v>7</v>
      </c>
      <c r="B79" s="21" t="s">
        <v>8</v>
      </c>
      <c r="C79" s="21">
        <v>0</v>
      </c>
      <c r="D79" s="22">
        <f>E78</f>
        <v>0</v>
      </c>
      <c r="E79" s="22">
        <f>C79*D79</f>
        <v>0</v>
      </c>
      <c r="F79" s="27">
        <f>E79</f>
        <v>0</v>
      </c>
    </row>
    <row r="80" ht="12.75" hidden="1"/>
    <row r="81" ht="11.25" customHeight="1" hidden="1"/>
    <row r="82" spans="1:6" ht="13.5" hidden="1" thickBot="1">
      <c r="A82" s="13" t="s">
        <v>194</v>
      </c>
      <c r="F82" s="85" t="s">
        <v>146</v>
      </c>
    </row>
    <row r="83" spans="1:5" ht="13.5" hidden="1" thickBot="1">
      <c r="A83" s="82" t="s">
        <v>143</v>
      </c>
      <c r="B83" s="83" t="s">
        <v>144</v>
      </c>
      <c r="C83" s="83" t="s">
        <v>59</v>
      </c>
      <c r="D83" s="84" t="s">
        <v>147</v>
      </c>
      <c r="E83" s="84" t="s">
        <v>145</v>
      </c>
    </row>
    <row r="84" spans="1:5" ht="12.75" hidden="1">
      <c r="A84" s="17" t="s">
        <v>0</v>
      </c>
      <c r="B84" s="18" t="s">
        <v>12</v>
      </c>
      <c r="C84" s="18">
        <v>0</v>
      </c>
      <c r="D84" s="19">
        <f>D58</f>
        <v>1549.47</v>
      </c>
      <c r="E84" s="19">
        <f>C84*D84</f>
        <v>0</v>
      </c>
    </row>
    <row r="85" spans="1:5" ht="12.75" hidden="1">
      <c r="A85" s="20" t="s">
        <v>49</v>
      </c>
      <c r="B85" s="21" t="s">
        <v>1</v>
      </c>
      <c r="C85" s="105">
        <v>0</v>
      </c>
      <c r="D85" s="22">
        <f>D84/220*2</f>
        <v>14.08609090909091</v>
      </c>
      <c r="E85" s="22">
        <f>C85*D85</f>
        <v>0</v>
      </c>
    </row>
    <row r="86" spans="1:5" ht="12.75" hidden="1">
      <c r="A86" s="20" t="s">
        <v>2</v>
      </c>
      <c r="B86" s="21" t="s">
        <v>3</v>
      </c>
      <c r="C86" s="21">
        <v>0</v>
      </c>
      <c r="D86" s="22">
        <f>D84</f>
        <v>1549.47</v>
      </c>
      <c r="E86" s="22">
        <f>C86*D86/100</f>
        <v>0</v>
      </c>
    </row>
    <row r="87" spans="1:5" ht="12.75" hidden="1">
      <c r="A87" s="20" t="s">
        <v>9</v>
      </c>
      <c r="B87" s="21" t="s">
        <v>1</v>
      </c>
      <c r="C87" s="44">
        <v>0</v>
      </c>
      <c r="D87" s="22">
        <f>D84/220*0.2</f>
        <v>1.4086090909090911</v>
      </c>
      <c r="E87" s="22">
        <f>C87*D87</f>
        <v>0</v>
      </c>
    </row>
    <row r="88" spans="1:5" ht="12.75" hidden="1">
      <c r="A88" s="25" t="s">
        <v>4</v>
      </c>
      <c r="B88" s="23"/>
      <c r="C88" s="23"/>
      <c r="D88" s="24"/>
      <c r="E88" s="26">
        <f>SUM(E84:E87)</f>
        <v>0</v>
      </c>
    </row>
    <row r="89" spans="1:5" ht="12.75" hidden="1">
      <c r="A89" s="20" t="s">
        <v>5</v>
      </c>
      <c r="B89" s="21" t="s">
        <v>3</v>
      </c>
      <c r="C89" s="21">
        <f>+C77</f>
        <v>0</v>
      </c>
      <c r="D89" s="22">
        <f>E88</f>
        <v>0</v>
      </c>
      <c r="E89" s="22">
        <f>D89*C89/100</f>
        <v>0</v>
      </c>
    </row>
    <row r="90" spans="1:5" ht="12.75" hidden="1">
      <c r="A90" s="25" t="s">
        <v>161</v>
      </c>
      <c r="B90" s="23"/>
      <c r="C90" s="23"/>
      <c r="D90" s="24"/>
      <c r="E90" s="26">
        <f>E88+E89</f>
        <v>0</v>
      </c>
    </row>
    <row r="91" spans="1:6" ht="13.5" hidden="1" thickBot="1">
      <c r="A91" s="20" t="s">
        <v>7</v>
      </c>
      <c r="B91" s="21" t="s">
        <v>8</v>
      </c>
      <c r="C91" s="21">
        <v>0</v>
      </c>
      <c r="D91" s="22">
        <f>E90</f>
        <v>0</v>
      </c>
      <c r="E91" s="22">
        <f>C91*D91</f>
        <v>0</v>
      </c>
      <c r="F91" s="27">
        <f>E91</f>
        <v>0</v>
      </c>
    </row>
    <row r="92" ht="12.75" hidden="1"/>
    <row r="93" ht="11.25" customHeight="1"/>
    <row r="94" ht="13.5" thickBot="1">
      <c r="A94" s="13" t="s">
        <v>242</v>
      </c>
    </row>
    <row r="95" spans="1:6" s="16" customFormat="1" ht="12.75" customHeight="1" thickBot="1">
      <c r="A95" s="82" t="s">
        <v>143</v>
      </c>
      <c r="B95" s="83" t="s">
        <v>144</v>
      </c>
      <c r="C95" s="83" t="s">
        <v>59</v>
      </c>
      <c r="D95" s="84" t="s">
        <v>147</v>
      </c>
      <c r="E95" s="84" t="s">
        <v>145</v>
      </c>
      <c r="F95" s="85" t="s">
        <v>146</v>
      </c>
    </row>
    <row r="96" spans="1:5" ht="12.75">
      <c r="A96" s="17" t="s">
        <v>0</v>
      </c>
      <c r="B96" s="18" t="s">
        <v>12</v>
      </c>
      <c r="C96" s="18">
        <v>1</v>
      </c>
      <c r="D96" s="19">
        <v>2370</v>
      </c>
      <c r="E96" s="19">
        <f>C96*D96</f>
        <v>2370</v>
      </c>
    </row>
    <row r="97" spans="1:5" ht="12.75" hidden="1">
      <c r="A97" s="20" t="s">
        <v>49</v>
      </c>
      <c r="B97" s="21" t="s">
        <v>1</v>
      </c>
      <c r="C97" s="44">
        <v>0</v>
      </c>
      <c r="D97" s="22">
        <f>D96/220*2</f>
        <v>21.545454545454547</v>
      </c>
      <c r="E97" s="22">
        <f>C97*D97</f>
        <v>0</v>
      </c>
    </row>
    <row r="98" spans="1:5" ht="12.75" hidden="1">
      <c r="A98" s="20" t="s">
        <v>50</v>
      </c>
      <c r="B98" s="21" t="s">
        <v>1</v>
      </c>
      <c r="C98" s="44">
        <v>0</v>
      </c>
      <c r="D98" s="22">
        <f>D96/220*1.5</f>
        <v>16.15909090909091</v>
      </c>
      <c r="E98" s="22">
        <f>C98*D98</f>
        <v>0</v>
      </c>
    </row>
    <row r="99" spans="1:5" ht="12.75">
      <c r="A99" s="20" t="s">
        <v>2</v>
      </c>
      <c r="B99" s="21" t="s">
        <v>3</v>
      </c>
      <c r="C99" s="21">
        <v>40</v>
      </c>
      <c r="D99" s="22">
        <v>1212</v>
      </c>
      <c r="E99" s="22">
        <f>C99*D99/100</f>
        <v>484.8</v>
      </c>
    </row>
    <row r="100" spans="1:5" ht="12.75">
      <c r="A100" s="20" t="s">
        <v>4</v>
      </c>
      <c r="B100" s="23"/>
      <c r="C100" s="23"/>
      <c r="D100" s="24"/>
      <c r="E100" s="22">
        <f>SUM(E96:E99)</f>
        <v>2854.8</v>
      </c>
    </row>
    <row r="101" spans="1:5" ht="12.75">
      <c r="A101" s="20" t="s">
        <v>5</v>
      </c>
      <c r="B101" s="21" t="s">
        <v>3</v>
      </c>
      <c r="C101" s="21">
        <v>64.76</v>
      </c>
      <c r="D101" s="22">
        <f>E100</f>
        <v>2854.8</v>
      </c>
      <c r="E101" s="22">
        <f>D101*C101/100</f>
        <v>1848.7684800000002</v>
      </c>
    </row>
    <row r="102" spans="1:5" ht="12.75">
      <c r="A102" s="20" t="s">
        <v>6</v>
      </c>
      <c r="B102" s="89"/>
      <c r="C102" s="89"/>
      <c r="D102" s="90"/>
      <c r="E102" s="22">
        <f>E100+E101</f>
        <v>4703.56848</v>
      </c>
    </row>
    <row r="103" spans="1:5" ht="12.75">
      <c r="A103" s="20" t="s">
        <v>7</v>
      </c>
      <c r="B103" s="21" t="s">
        <v>8</v>
      </c>
      <c r="C103" s="21">
        <v>1</v>
      </c>
      <c r="D103" s="22">
        <f>E102</f>
        <v>4703.56848</v>
      </c>
      <c r="E103" s="22">
        <f>C103*D103</f>
        <v>4703.56848</v>
      </c>
    </row>
    <row r="104" spans="1:5" ht="12.75">
      <c r="A104" s="71"/>
      <c r="B104" s="135"/>
      <c r="C104" s="135"/>
      <c r="D104" s="137"/>
      <c r="E104" s="137"/>
    </row>
    <row r="105" spans="1:5" ht="12.75">
      <c r="A105" s="71"/>
      <c r="B105" s="135"/>
      <c r="C105" s="135"/>
      <c r="D105" s="137"/>
      <c r="E105" s="137"/>
    </row>
    <row r="106" spans="1:5" ht="13.5" thickBot="1">
      <c r="A106" s="20" t="s">
        <v>244</v>
      </c>
      <c r="B106" s="21">
        <v>6</v>
      </c>
      <c r="C106" s="112">
        <v>12</v>
      </c>
      <c r="D106" s="22">
        <f>E102/C106</f>
        <v>391.96404</v>
      </c>
      <c r="E106" s="22">
        <f>D106*B106</f>
        <v>2351.78424</v>
      </c>
    </row>
    <row r="107" spans="1:6" ht="13.5" thickBot="1">
      <c r="A107" s="20" t="s">
        <v>245</v>
      </c>
      <c r="B107" s="21">
        <v>0.02</v>
      </c>
      <c r="C107" s="112">
        <v>2</v>
      </c>
      <c r="D107" s="22">
        <f>E103/C107</f>
        <v>2351.78424</v>
      </c>
      <c r="E107" s="22">
        <f>D107*B107</f>
        <v>47.0356848</v>
      </c>
      <c r="F107" s="27">
        <f>E106</f>
        <v>2351.78424</v>
      </c>
    </row>
    <row r="108" ht="11.25" customHeight="1"/>
    <row r="109" ht="12.75" hidden="1">
      <c r="A109" s="13" t="s">
        <v>193</v>
      </c>
    </row>
    <row r="110" spans="1:6" ht="13.5" hidden="1" thickBot="1">
      <c r="A110" s="82" t="s">
        <v>143</v>
      </c>
      <c r="B110" s="83" t="s">
        <v>144</v>
      </c>
      <c r="C110" s="83" t="s">
        <v>59</v>
      </c>
      <c r="D110" s="84" t="s">
        <v>147</v>
      </c>
      <c r="E110" s="84" t="s">
        <v>145</v>
      </c>
      <c r="F110" s="85" t="s">
        <v>146</v>
      </c>
    </row>
    <row r="111" spans="1:5" ht="12.75" hidden="1">
      <c r="A111" s="17" t="s">
        <v>0</v>
      </c>
      <c r="B111" s="18" t="s">
        <v>12</v>
      </c>
      <c r="C111" s="18">
        <v>0</v>
      </c>
      <c r="D111" s="19">
        <f>D96</f>
        <v>2370</v>
      </c>
      <c r="E111" s="19">
        <f>C111*D111</f>
        <v>0</v>
      </c>
    </row>
    <row r="112" spans="1:5" ht="12.75" hidden="1">
      <c r="A112" s="20" t="s">
        <v>49</v>
      </c>
      <c r="B112" s="21" t="s">
        <v>1</v>
      </c>
      <c r="C112" s="105">
        <v>0</v>
      </c>
      <c r="D112" s="22">
        <f>D111/220*2</f>
        <v>21.545454545454547</v>
      </c>
      <c r="E112" s="22">
        <f>C112*D112</f>
        <v>0</v>
      </c>
    </row>
    <row r="113" spans="1:5" ht="12.75" hidden="1">
      <c r="A113" s="20" t="s">
        <v>2</v>
      </c>
      <c r="B113" s="21" t="s">
        <v>3</v>
      </c>
      <c r="C113" s="21">
        <v>0</v>
      </c>
      <c r="D113" s="22">
        <f>+D99</f>
        <v>1212</v>
      </c>
      <c r="E113" s="22">
        <f>C113*D113/100</f>
        <v>0</v>
      </c>
    </row>
    <row r="114" spans="1:5" ht="12.75" hidden="1">
      <c r="A114" s="20" t="s">
        <v>9</v>
      </c>
      <c r="B114" s="21" t="s">
        <v>1</v>
      </c>
      <c r="C114" s="44">
        <v>0</v>
      </c>
      <c r="D114" s="22">
        <f>D111/220*0.2</f>
        <v>2.1545454545454548</v>
      </c>
      <c r="E114" s="22">
        <f>C114*D114</f>
        <v>0</v>
      </c>
    </row>
    <row r="115" spans="1:5" ht="12.75" hidden="1">
      <c r="A115" s="25" t="s">
        <v>4</v>
      </c>
      <c r="B115" s="23"/>
      <c r="C115" s="23">
        <v>0</v>
      </c>
      <c r="D115" s="24"/>
      <c r="E115" s="26">
        <f>SUM(E111:E114)</f>
        <v>0</v>
      </c>
    </row>
    <row r="116" spans="1:5" ht="12.75" hidden="1">
      <c r="A116" s="20" t="s">
        <v>5</v>
      </c>
      <c r="B116" s="21" t="s">
        <v>3</v>
      </c>
      <c r="C116" s="21">
        <v>0</v>
      </c>
      <c r="D116" s="22">
        <f>E115</f>
        <v>0</v>
      </c>
      <c r="E116" s="22">
        <f>D116*C116/100</f>
        <v>0</v>
      </c>
    </row>
    <row r="117" spans="1:5" ht="12.75" hidden="1">
      <c r="A117" s="25" t="s">
        <v>6</v>
      </c>
      <c r="B117" s="23"/>
      <c r="C117" s="23"/>
      <c r="D117" s="24"/>
      <c r="E117" s="26">
        <f>E115+E116</f>
        <v>0</v>
      </c>
    </row>
    <row r="118" spans="1:5" ht="12.75" hidden="1">
      <c r="A118" s="20" t="s">
        <v>7</v>
      </c>
      <c r="B118" s="21" t="s">
        <v>8</v>
      </c>
      <c r="C118" s="21">
        <v>0</v>
      </c>
      <c r="D118" s="22">
        <f>E117</f>
        <v>0</v>
      </c>
      <c r="E118" s="22">
        <f>C118*D118</f>
        <v>0</v>
      </c>
    </row>
    <row r="119" ht="13.5" hidden="1" thickBot="1">
      <c r="F119" s="27">
        <f>E118</f>
        <v>0</v>
      </c>
    </row>
    <row r="120" ht="11.25" customHeight="1" hidden="1"/>
    <row r="121" ht="12.75" hidden="1">
      <c r="A121" s="13" t="s">
        <v>195</v>
      </c>
    </row>
    <row r="122" spans="1:6" ht="13.5" hidden="1" thickBot="1">
      <c r="A122" s="82" t="s">
        <v>143</v>
      </c>
      <c r="B122" s="83" t="s">
        <v>144</v>
      </c>
      <c r="C122" s="83" t="s">
        <v>59</v>
      </c>
      <c r="D122" s="84" t="s">
        <v>147</v>
      </c>
      <c r="E122" s="84" t="s">
        <v>145</v>
      </c>
      <c r="F122" s="85" t="s">
        <v>146</v>
      </c>
    </row>
    <row r="123" spans="1:5" ht="12.75" hidden="1">
      <c r="A123" s="17" t="s">
        <v>0</v>
      </c>
      <c r="B123" s="18" t="s">
        <v>12</v>
      </c>
      <c r="C123" s="18">
        <v>0</v>
      </c>
      <c r="D123" s="19">
        <f>D96</f>
        <v>2370</v>
      </c>
      <c r="E123" s="19">
        <f>C123*D123</f>
        <v>0</v>
      </c>
    </row>
    <row r="124" spans="1:5" ht="12.75" hidden="1">
      <c r="A124" s="20" t="s">
        <v>49</v>
      </c>
      <c r="B124" s="21" t="s">
        <v>1</v>
      </c>
      <c r="C124" s="105">
        <v>0</v>
      </c>
      <c r="D124" s="22">
        <f>D123/220*2</f>
        <v>21.545454545454547</v>
      </c>
      <c r="E124" s="22">
        <f>C124*D124</f>
        <v>0</v>
      </c>
    </row>
    <row r="125" spans="1:5" ht="12.75" hidden="1">
      <c r="A125" s="20" t="s">
        <v>2</v>
      </c>
      <c r="B125" s="21" t="s">
        <v>3</v>
      </c>
      <c r="C125" s="21">
        <v>0</v>
      </c>
      <c r="D125" s="22">
        <f>D99</f>
        <v>1212</v>
      </c>
      <c r="E125" s="22">
        <f>C125*D125/100</f>
        <v>0</v>
      </c>
    </row>
    <row r="126" spans="1:5" ht="12.75" hidden="1">
      <c r="A126" s="20" t="s">
        <v>9</v>
      </c>
      <c r="B126" s="21" t="s">
        <v>1</v>
      </c>
      <c r="C126" s="44">
        <v>0</v>
      </c>
      <c r="D126" s="22">
        <f>D123/220*0.2</f>
        <v>2.1545454545454548</v>
      </c>
      <c r="E126" s="22">
        <f>C126*D126</f>
        <v>0</v>
      </c>
    </row>
    <row r="127" spans="1:5" ht="12.75" hidden="1">
      <c r="A127" s="25" t="s">
        <v>4</v>
      </c>
      <c r="B127" s="23"/>
      <c r="C127" s="23"/>
      <c r="D127" s="24"/>
      <c r="E127" s="26">
        <f>SUM(E123:E126)</f>
        <v>0</v>
      </c>
    </row>
    <row r="128" spans="1:5" ht="12.75" hidden="1">
      <c r="A128" s="20" t="s">
        <v>5</v>
      </c>
      <c r="B128" s="21" t="s">
        <v>3</v>
      </c>
      <c r="C128" s="21">
        <f>+C77</f>
        <v>0</v>
      </c>
      <c r="D128" s="22">
        <f>E127</f>
        <v>0</v>
      </c>
      <c r="E128" s="22">
        <f>D128*C128/100</f>
        <v>0</v>
      </c>
    </row>
    <row r="129" spans="1:5" ht="12.75" hidden="1">
      <c r="A129" s="25" t="s">
        <v>6</v>
      </c>
      <c r="B129" s="23"/>
      <c r="C129" s="23"/>
      <c r="D129" s="24"/>
      <c r="E129" s="26">
        <f>E127+E128</f>
        <v>0</v>
      </c>
    </row>
    <row r="130" spans="1:5" ht="12.75" hidden="1">
      <c r="A130" s="20" t="s">
        <v>7</v>
      </c>
      <c r="B130" s="21" t="s">
        <v>8</v>
      </c>
      <c r="C130" s="21">
        <v>0</v>
      </c>
      <c r="D130" s="22">
        <f>E129</f>
        <v>0</v>
      </c>
      <c r="E130" s="22">
        <f>C130*D130</f>
        <v>0</v>
      </c>
    </row>
    <row r="131" ht="13.5" hidden="1" thickBot="1">
      <c r="F131" s="27">
        <f>E130</f>
        <v>0</v>
      </c>
    </row>
    <row r="132" ht="11.25" customHeight="1" hidden="1"/>
    <row r="133" ht="12.75" hidden="1">
      <c r="A133" s="13" t="s">
        <v>183</v>
      </c>
    </row>
    <row r="134" spans="1:6" ht="13.5" hidden="1" thickBot="1">
      <c r="A134" s="82" t="s">
        <v>143</v>
      </c>
      <c r="B134" s="83" t="s">
        <v>144</v>
      </c>
      <c r="C134" s="83" t="s">
        <v>59</v>
      </c>
      <c r="D134" s="84" t="s">
        <v>147</v>
      </c>
      <c r="E134" s="84" t="s">
        <v>145</v>
      </c>
      <c r="F134" s="85" t="s">
        <v>146</v>
      </c>
    </row>
    <row r="135" spans="1:5" ht="12.75" hidden="1">
      <c r="A135" s="17" t="s">
        <v>0</v>
      </c>
      <c r="B135" s="18" t="s">
        <v>12</v>
      </c>
      <c r="C135" s="18">
        <v>0</v>
      </c>
      <c r="D135" s="19">
        <f>+ROUND(D96*1.5,2)</f>
        <v>3555</v>
      </c>
      <c r="E135" s="19">
        <f>C135*D135</f>
        <v>0</v>
      </c>
    </row>
    <row r="136" spans="1:5" ht="12.75" hidden="1">
      <c r="A136" s="20" t="s">
        <v>49</v>
      </c>
      <c r="B136" s="21" t="s">
        <v>1</v>
      </c>
      <c r="C136" s="21">
        <v>0</v>
      </c>
      <c r="D136" s="22">
        <f>D135/220*2</f>
        <v>32.31818181818182</v>
      </c>
      <c r="E136" s="22">
        <f>C136*D136</f>
        <v>0</v>
      </c>
    </row>
    <row r="137" spans="1:5" ht="12.75" hidden="1">
      <c r="A137" s="20" t="s">
        <v>50</v>
      </c>
      <c r="B137" s="21" t="s">
        <v>1</v>
      </c>
      <c r="C137" s="21">
        <v>0</v>
      </c>
      <c r="D137" s="22">
        <f>D135/220*1.5</f>
        <v>24.238636363636367</v>
      </c>
      <c r="E137" s="22">
        <f>C137*D137</f>
        <v>0</v>
      </c>
    </row>
    <row r="138" spans="1:5" ht="12.75" hidden="1">
      <c r="A138" s="20" t="s">
        <v>2</v>
      </c>
      <c r="B138" s="21" t="s">
        <v>3</v>
      </c>
      <c r="C138" s="21">
        <v>0</v>
      </c>
      <c r="D138" s="22">
        <f>+D99</f>
        <v>1212</v>
      </c>
      <c r="E138" s="22">
        <f>C138*D138/100</f>
        <v>0</v>
      </c>
    </row>
    <row r="139" spans="1:5" ht="12.75" hidden="1">
      <c r="A139" s="25" t="s">
        <v>4</v>
      </c>
      <c r="B139" s="23"/>
      <c r="C139" s="23"/>
      <c r="D139" s="24"/>
      <c r="E139" s="26">
        <f>SUM(E135:E138)</f>
        <v>0</v>
      </c>
    </row>
    <row r="140" spans="1:5" ht="12.75" hidden="1">
      <c r="A140" s="20" t="s">
        <v>5</v>
      </c>
      <c r="B140" s="21" t="s">
        <v>3</v>
      </c>
      <c r="C140" s="21">
        <v>0</v>
      </c>
      <c r="D140" s="22">
        <f>E139</f>
        <v>0</v>
      </c>
      <c r="E140" s="22">
        <f>D140*C140/100</f>
        <v>0</v>
      </c>
    </row>
    <row r="141" spans="1:5" ht="12.75" hidden="1">
      <c r="A141" s="25" t="s">
        <v>82</v>
      </c>
      <c r="B141" s="23"/>
      <c r="C141" s="23"/>
      <c r="D141" s="24"/>
      <c r="E141" s="26">
        <f>E139+E140</f>
        <v>0</v>
      </c>
    </row>
    <row r="142" spans="1:5" ht="12.75" hidden="1">
      <c r="A142" s="20" t="s">
        <v>7</v>
      </c>
      <c r="B142" s="21" t="s">
        <v>8</v>
      </c>
      <c r="C142" s="21">
        <v>0</v>
      </c>
      <c r="D142" s="22">
        <f>E141</f>
        <v>0</v>
      </c>
      <c r="E142" s="22">
        <f>C142*D142</f>
        <v>0</v>
      </c>
    </row>
    <row r="143" ht="13.5" hidden="1" thickBot="1">
      <c r="F143" s="27">
        <f>E142</f>
        <v>0</v>
      </c>
    </row>
    <row r="144" ht="11.25" customHeight="1" hidden="1"/>
    <row r="145" ht="12.75" hidden="1">
      <c r="A145" s="13" t="s">
        <v>184</v>
      </c>
    </row>
    <row r="146" spans="1:6" ht="13.5" hidden="1" thickBot="1">
      <c r="A146" s="82" t="s">
        <v>143</v>
      </c>
      <c r="B146" s="83" t="s">
        <v>144</v>
      </c>
      <c r="C146" s="83" t="s">
        <v>59</v>
      </c>
      <c r="D146" s="84" t="s">
        <v>147</v>
      </c>
      <c r="E146" s="84" t="s">
        <v>145</v>
      </c>
      <c r="F146" s="85" t="s">
        <v>146</v>
      </c>
    </row>
    <row r="147" spans="1:5" ht="12.75" hidden="1">
      <c r="A147" s="17" t="s">
        <v>0</v>
      </c>
      <c r="B147" s="18" t="s">
        <v>12</v>
      </c>
      <c r="C147" s="18">
        <v>0</v>
      </c>
      <c r="D147" s="19">
        <f>+D135</f>
        <v>3555</v>
      </c>
      <c r="E147" s="19">
        <f>C147*D147</f>
        <v>0</v>
      </c>
    </row>
    <row r="148" spans="1:5" ht="12.75" hidden="1">
      <c r="A148" s="20" t="s">
        <v>49</v>
      </c>
      <c r="B148" s="21" t="s">
        <v>1</v>
      </c>
      <c r="C148" s="21">
        <f>+C136</f>
        <v>0</v>
      </c>
      <c r="D148" s="22">
        <f>D147/220*2</f>
        <v>32.31818181818182</v>
      </c>
      <c r="E148" s="22">
        <f>C148*D148</f>
        <v>0</v>
      </c>
    </row>
    <row r="149" spans="1:5" ht="12.75" hidden="1">
      <c r="A149" s="20" t="s">
        <v>167</v>
      </c>
      <c r="B149" s="21" t="s">
        <v>1</v>
      </c>
      <c r="C149" s="21">
        <f>+C137</f>
        <v>0</v>
      </c>
      <c r="D149" s="22">
        <f>D147/220*1.5*1.2</f>
        <v>29.08636363636364</v>
      </c>
      <c r="E149" s="22">
        <f>C149*D149</f>
        <v>0</v>
      </c>
    </row>
    <row r="150" spans="1:5" ht="12.75" hidden="1">
      <c r="A150" s="20" t="s">
        <v>2</v>
      </c>
      <c r="B150" s="21" t="s">
        <v>3</v>
      </c>
      <c r="C150" s="21">
        <f>+C138</f>
        <v>0</v>
      </c>
      <c r="D150" s="22">
        <f>+D99</f>
        <v>1212</v>
      </c>
      <c r="E150" s="22">
        <f>C150*D150/100</f>
        <v>0</v>
      </c>
    </row>
    <row r="151" spans="1:5" ht="12.75" hidden="1">
      <c r="A151" s="20" t="s">
        <v>9</v>
      </c>
      <c r="B151" s="21" t="s">
        <v>1</v>
      </c>
      <c r="C151" s="44">
        <v>0</v>
      </c>
      <c r="D151" s="22">
        <f>D147/220*0.2</f>
        <v>3.2318181818181824</v>
      </c>
      <c r="E151" s="22">
        <f>C151*D151</f>
        <v>0</v>
      </c>
    </row>
    <row r="152" spans="1:5" ht="12.75" hidden="1">
      <c r="A152" s="25" t="s">
        <v>4</v>
      </c>
      <c r="B152" s="23"/>
      <c r="C152" s="23"/>
      <c r="D152" s="24"/>
      <c r="E152" s="26">
        <f>SUM(E147:E151)</f>
        <v>0</v>
      </c>
    </row>
    <row r="153" spans="1:5" ht="12.75" hidden="1">
      <c r="A153" s="20" t="s">
        <v>5</v>
      </c>
      <c r="B153" s="21" t="s">
        <v>3</v>
      </c>
      <c r="C153" s="21">
        <v>0</v>
      </c>
      <c r="D153" s="22">
        <f>E152</f>
        <v>0</v>
      </c>
      <c r="E153" s="22">
        <f>D153*C153/100</f>
        <v>0</v>
      </c>
    </row>
    <row r="154" spans="1:5" ht="12.75" hidden="1">
      <c r="A154" s="20" t="s">
        <v>82</v>
      </c>
      <c r="B154" s="89"/>
      <c r="C154" s="89"/>
      <c r="D154" s="90"/>
      <c r="E154" s="22">
        <f>E152+E153</f>
        <v>0</v>
      </c>
    </row>
    <row r="155" spans="1:5" ht="12.75" hidden="1">
      <c r="A155" s="20" t="s">
        <v>7</v>
      </c>
      <c r="B155" s="21" t="s">
        <v>8</v>
      </c>
      <c r="C155" s="21">
        <v>0</v>
      </c>
      <c r="D155" s="22">
        <f>E154</f>
        <v>0</v>
      </c>
      <c r="E155" s="22">
        <f>C155*D155</f>
        <v>0</v>
      </c>
    </row>
    <row r="156" ht="13.5" hidden="1" thickBot="1">
      <c r="F156" s="27">
        <f>E155</f>
        <v>0</v>
      </c>
    </row>
    <row r="157" ht="11.25" customHeight="1" hidden="1"/>
    <row r="158" ht="12.75" hidden="1">
      <c r="A158" s="13" t="s">
        <v>185</v>
      </c>
    </row>
    <row r="159" spans="1:6" ht="13.5" hidden="1" thickBot="1">
      <c r="A159" s="82" t="s">
        <v>143</v>
      </c>
      <c r="B159" s="83" t="s">
        <v>144</v>
      </c>
      <c r="C159" s="83" t="s">
        <v>59</v>
      </c>
      <c r="D159" s="84" t="s">
        <v>147</v>
      </c>
      <c r="E159" s="84" t="s">
        <v>145</v>
      </c>
      <c r="F159" s="85" t="s">
        <v>146</v>
      </c>
    </row>
    <row r="160" spans="1:5" ht="12.75" hidden="1">
      <c r="A160" s="17" t="s">
        <v>0</v>
      </c>
      <c r="B160" s="18" t="s">
        <v>12</v>
      </c>
      <c r="C160" s="18">
        <v>0</v>
      </c>
      <c r="D160" s="19">
        <f>+D96*2</f>
        <v>4740</v>
      </c>
      <c r="E160" s="19">
        <f>C160*D160</f>
        <v>0</v>
      </c>
    </row>
    <row r="161" spans="1:5" ht="12.75" hidden="1">
      <c r="A161" s="20" t="s">
        <v>49</v>
      </c>
      <c r="B161" s="21" t="s">
        <v>1</v>
      </c>
      <c r="C161" s="21">
        <f>+C136</f>
        <v>0</v>
      </c>
      <c r="D161" s="22">
        <f>D160/220*2</f>
        <v>43.09090909090909</v>
      </c>
      <c r="E161" s="22">
        <f>C161*D161</f>
        <v>0</v>
      </c>
    </row>
    <row r="162" spans="1:5" ht="12.75" hidden="1">
      <c r="A162" s="20" t="s">
        <v>50</v>
      </c>
      <c r="B162" s="21" t="s">
        <v>1</v>
      </c>
      <c r="C162" s="21">
        <f>+C137</f>
        <v>0</v>
      </c>
      <c r="D162" s="22">
        <f>D160/220*1.5</f>
        <v>32.31818181818182</v>
      </c>
      <c r="E162" s="22">
        <f>C162*D162</f>
        <v>0</v>
      </c>
    </row>
    <row r="163" spans="1:5" ht="12.75" hidden="1">
      <c r="A163" s="25" t="s">
        <v>4</v>
      </c>
      <c r="B163" s="23"/>
      <c r="C163" s="23"/>
      <c r="D163" s="24"/>
      <c r="E163" s="26">
        <f>SUM(E160:E162)</f>
        <v>0</v>
      </c>
    </row>
    <row r="164" spans="1:5" ht="12.75" hidden="1">
      <c r="A164" s="20" t="s">
        <v>5</v>
      </c>
      <c r="B164" s="21" t="s">
        <v>3</v>
      </c>
      <c r="C164" s="21">
        <v>0</v>
      </c>
      <c r="D164" s="22">
        <f>E163</f>
        <v>0</v>
      </c>
      <c r="E164" s="22">
        <f>D164*C164/100</f>
        <v>0</v>
      </c>
    </row>
    <row r="165" spans="1:5" ht="12.75" hidden="1">
      <c r="A165" s="25" t="s">
        <v>10</v>
      </c>
      <c r="B165" s="23"/>
      <c r="C165" s="23"/>
      <c r="D165" s="24"/>
      <c r="E165" s="26">
        <f>E163+E164</f>
        <v>0</v>
      </c>
    </row>
    <row r="166" spans="1:5" ht="12.75" hidden="1">
      <c r="A166" s="20" t="s">
        <v>7</v>
      </c>
      <c r="B166" s="21" t="s">
        <v>8</v>
      </c>
      <c r="C166" s="21">
        <v>0</v>
      </c>
      <c r="D166" s="22">
        <f>E165</f>
        <v>0</v>
      </c>
      <c r="E166" s="22">
        <f>C166*D166</f>
        <v>0</v>
      </c>
    </row>
    <row r="167" ht="13.5" hidden="1" thickBot="1">
      <c r="F167" s="27">
        <f>E166</f>
        <v>0</v>
      </c>
    </row>
    <row r="168" ht="11.25" customHeight="1" hidden="1"/>
    <row r="169" ht="12.75" hidden="1">
      <c r="A169" s="13" t="s">
        <v>186</v>
      </c>
    </row>
    <row r="170" spans="1:6" ht="13.5" hidden="1" thickBot="1">
      <c r="A170" s="82" t="s">
        <v>143</v>
      </c>
      <c r="B170" s="83" t="s">
        <v>144</v>
      </c>
      <c r="C170" s="83" t="s">
        <v>59</v>
      </c>
      <c r="D170" s="84" t="s">
        <v>147</v>
      </c>
      <c r="E170" s="84" t="s">
        <v>145</v>
      </c>
      <c r="F170" s="85" t="s">
        <v>146</v>
      </c>
    </row>
    <row r="171" spans="1:5" ht="12.75" hidden="1">
      <c r="A171" s="17" t="s">
        <v>0</v>
      </c>
      <c r="B171" s="18" t="s">
        <v>12</v>
      </c>
      <c r="C171" s="18">
        <v>0</v>
      </c>
      <c r="D171" s="19">
        <f>D160</f>
        <v>4740</v>
      </c>
      <c r="E171" s="19">
        <f>C171*D171</f>
        <v>0</v>
      </c>
    </row>
    <row r="172" spans="1:5" ht="12.75" hidden="1">
      <c r="A172" s="20" t="s">
        <v>49</v>
      </c>
      <c r="B172" s="21" t="s">
        <v>1</v>
      </c>
      <c r="C172" s="21">
        <f>+C161</f>
        <v>0</v>
      </c>
      <c r="D172" s="22">
        <f>D171/220*2</f>
        <v>43.09090909090909</v>
      </c>
      <c r="E172" s="22">
        <f>C172*D172</f>
        <v>0</v>
      </c>
    </row>
    <row r="173" spans="1:5" ht="12.75" hidden="1">
      <c r="A173" s="20" t="s">
        <v>167</v>
      </c>
      <c r="B173" s="21" t="s">
        <v>1</v>
      </c>
      <c r="C173" s="21">
        <f>+C162</f>
        <v>0</v>
      </c>
      <c r="D173" s="22">
        <f>D171/220*1.5*1.2</f>
        <v>38.78181818181818</v>
      </c>
      <c r="E173" s="22">
        <f>C173*D173</f>
        <v>0</v>
      </c>
    </row>
    <row r="174" spans="1:5" ht="12.75" hidden="1">
      <c r="A174" s="20" t="s">
        <v>9</v>
      </c>
      <c r="B174" s="21" t="s">
        <v>1</v>
      </c>
      <c r="C174" s="44">
        <f>+C151</f>
        <v>0</v>
      </c>
      <c r="D174" s="22">
        <f>D171/220*0.2</f>
        <v>4.3090909090909095</v>
      </c>
      <c r="E174" s="22">
        <f>C174*D174</f>
        <v>0</v>
      </c>
    </row>
    <row r="175" spans="1:5" ht="12.75" hidden="1">
      <c r="A175" s="25" t="s">
        <v>4</v>
      </c>
      <c r="B175" s="23"/>
      <c r="C175" s="23"/>
      <c r="D175" s="24"/>
      <c r="E175" s="26">
        <f>SUM(E171:E174)</f>
        <v>0</v>
      </c>
    </row>
    <row r="176" spans="1:5" ht="12.75" hidden="1">
      <c r="A176" s="20" t="s">
        <v>5</v>
      </c>
      <c r="B176" s="21" t="s">
        <v>3</v>
      </c>
      <c r="C176" s="21">
        <v>0</v>
      </c>
      <c r="D176" s="22">
        <f>E175</f>
        <v>0</v>
      </c>
      <c r="E176" s="22">
        <f>D176*C176/100</f>
        <v>0</v>
      </c>
    </row>
    <row r="177" spans="1:5" ht="12.75" hidden="1">
      <c r="A177" s="25" t="s">
        <v>10</v>
      </c>
      <c r="B177" s="23"/>
      <c r="C177" s="23"/>
      <c r="D177" s="24"/>
      <c r="E177" s="26">
        <f>E175+E176</f>
        <v>0</v>
      </c>
    </row>
    <row r="178" spans="1:5" ht="12.75" hidden="1">
      <c r="A178" s="20" t="s">
        <v>7</v>
      </c>
      <c r="B178" s="21" t="s">
        <v>8</v>
      </c>
      <c r="C178" s="21">
        <v>0</v>
      </c>
      <c r="D178" s="22">
        <f>E177</f>
        <v>0</v>
      </c>
      <c r="E178" s="22">
        <f>C178*D178</f>
        <v>0</v>
      </c>
    </row>
    <row r="179" ht="13.5" hidden="1" thickBot="1">
      <c r="F179" s="27">
        <f>E178</f>
        <v>0</v>
      </c>
    </row>
    <row r="180" ht="11.25" customHeight="1" hidden="1"/>
    <row r="181" ht="12.75" hidden="1">
      <c r="A181" s="13" t="s">
        <v>187</v>
      </c>
    </row>
    <row r="182" spans="1:6" ht="13.5" hidden="1" thickBot="1">
      <c r="A182" s="82" t="s">
        <v>143</v>
      </c>
      <c r="B182" s="83" t="s">
        <v>144</v>
      </c>
      <c r="C182" s="83" t="s">
        <v>59</v>
      </c>
      <c r="D182" s="84" t="s">
        <v>147</v>
      </c>
      <c r="E182" s="84" t="s">
        <v>145</v>
      </c>
      <c r="F182" s="85" t="s">
        <v>146</v>
      </c>
    </row>
    <row r="183" spans="1:5" ht="12.75" hidden="1">
      <c r="A183" s="17" t="s">
        <v>0</v>
      </c>
      <c r="B183" s="18" t="s">
        <v>12</v>
      </c>
      <c r="C183" s="18">
        <v>0</v>
      </c>
      <c r="D183" s="19">
        <f>+D99*3</f>
        <v>3636</v>
      </c>
      <c r="E183" s="19">
        <f>C183*D183</f>
        <v>0</v>
      </c>
    </row>
    <row r="184" spans="1:5" ht="12.75" hidden="1">
      <c r="A184" s="20" t="s">
        <v>49</v>
      </c>
      <c r="B184" s="21" t="s">
        <v>1</v>
      </c>
      <c r="C184" s="21">
        <f>+C136</f>
        <v>0</v>
      </c>
      <c r="D184" s="22">
        <f>D183/220*2</f>
        <v>33.054545454545455</v>
      </c>
      <c r="E184" s="22">
        <f>C184*D184</f>
        <v>0</v>
      </c>
    </row>
    <row r="185" spans="1:5" ht="12.75" hidden="1">
      <c r="A185" s="20" t="s">
        <v>50</v>
      </c>
      <c r="B185" s="21" t="s">
        <v>1</v>
      </c>
      <c r="C185" s="21">
        <f>+C137</f>
        <v>0</v>
      </c>
      <c r="D185" s="22">
        <f>D183/220*1.5</f>
        <v>24.79090909090909</v>
      </c>
      <c r="E185" s="22">
        <f>C185*D185</f>
        <v>0</v>
      </c>
    </row>
    <row r="186" spans="1:5" ht="12.75" hidden="1">
      <c r="A186" s="20" t="s">
        <v>2</v>
      </c>
      <c r="B186" s="21" t="s">
        <v>3</v>
      </c>
      <c r="C186" s="21">
        <v>0</v>
      </c>
      <c r="D186" s="22">
        <f>+D99</f>
        <v>1212</v>
      </c>
      <c r="E186" s="22">
        <f>C186*D186/100</f>
        <v>0</v>
      </c>
    </row>
    <row r="187" spans="1:5" ht="12.75" hidden="1">
      <c r="A187" s="25" t="s">
        <v>4</v>
      </c>
      <c r="B187" s="23"/>
      <c r="C187" s="23"/>
      <c r="D187" s="24"/>
      <c r="E187" s="26">
        <f>SUM(E183:E186)</f>
        <v>0</v>
      </c>
    </row>
    <row r="188" spans="1:5" ht="12.75" hidden="1">
      <c r="A188" s="20" t="s">
        <v>5</v>
      </c>
      <c r="B188" s="21" t="s">
        <v>3</v>
      </c>
      <c r="C188" s="21">
        <v>0</v>
      </c>
      <c r="D188" s="22">
        <f>E187</f>
        <v>0</v>
      </c>
      <c r="E188" s="22">
        <f>D188*C188/100</f>
        <v>0</v>
      </c>
    </row>
    <row r="189" spans="1:5" ht="12.75" hidden="1">
      <c r="A189" s="25" t="s">
        <v>11</v>
      </c>
      <c r="B189" s="23"/>
      <c r="C189" s="23"/>
      <c r="D189" s="24"/>
      <c r="E189" s="26">
        <f>E187+E188</f>
        <v>0</v>
      </c>
    </row>
    <row r="190" spans="1:5" ht="12.75" hidden="1">
      <c r="A190" s="20" t="s">
        <v>7</v>
      </c>
      <c r="B190" s="21" t="s">
        <v>8</v>
      </c>
      <c r="C190" s="21">
        <v>0</v>
      </c>
      <c r="D190" s="22">
        <f>E189</f>
        <v>0</v>
      </c>
      <c r="E190" s="22">
        <f>C190*D190</f>
        <v>0</v>
      </c>
    </row>
    <row r="191" ht="13.5" hidden="1" thickBot="1">
      <c r="F191" s="27">
        <f>E190</f>
        <v>0</v>
      </c>
    </row>
    <row r="192" ht="11.25" customHeight="1" hidden="1"/>
    <row r="193" ht="12.75" hidden="1">
      <c r="A193" s="13" t="s">
        <v>188</v>
      </c>
    </row>
    <row r="194" spans="1:6" ht="13.5" hidden="1" thickBot="1">
      <c r="A194" s="82" t="s">
        <v>143</v>
      </c>
      <c r="B194" s="83" t="s">
        <v>144</v>
      </c>
      <c r="C194" s="83" t="s">
        <v>59</v>
      </c>
      <c r="D194" s="84" t="s">
        <v>147</v>
      </c>
      <c r="E194" s="84" t="s">
        <v>145</v>
      </c>
      <c r="F194" s="85" t="s">
        <v>146</v>
      </c>
    </row>
    <row r="195" spans="1:5" ht="12.75" hidden="1">
      <c r="A195" s="17" t="s">
        <v>0</v>
      </c>
      <c r="B195" s="18" t="s">
        <v>12</v>
      </c>
      <c r="C195" s="18">
        <v>0</v>
      </c>
      <c r="D195" s="19">
        <f>+D183</f>
        <v>3636</v>
      </c>
      <c r="E195" s="19">
        <f>C195*D195</f>
        <v>0</v>
      </c>
    </row>
    <row r="196" spans="1:5" ht="12.75" hidden="1">
      <c r="A196" s="20" t="s">
        <v>49</v>
      </c>
      <c r="B196" s="21" t="s">
        <v>1</v>
      </c>
      <c r="C196" s="21">
        <f>+C148</f>
        <v>0</v>
      </c>
      <c r="D196" s="22">
        <f>D195/220*2</f>
        <v>33.054545454545455</v>
      </c>
      <c r="E196" s="22">
        <f>C196*D196</f>
        <v>0</v>
      </c>
    </row>
    <row r="197" spans="1:5" ht="12.75" hidden="1">
      <c r="A197" s="20" t="s">
        <v>167</v>
      </c>
      <c r="B197" s="21" t="s">
        <v>1</v>
      </c>
      <c r="C197" s="21">
        <f>+C149</f>
        <v>0</v>
      </c>
      <c r="D197" s="22">
        <f>D195/220*1.5*1.2</f>
        <v>29.749090909090906</v>
      </c>
      <c r="E197" s="22">
        <f>C197*D197</f>
        <v>0</v>
      </c>
    </row>
    <row r="198" spans="1:5" ht="12.75" hidden="1">
      <c r="A198" s="20" t="s">
        <v>2</v>
      </c>
      <c r="B198" s="21" t="s">
        <v>3</v>
      </c>
      <c r="C198" s="21">
        <v>0</v>
      </c>
      <c r="D198" s="22">
        <f>+D99</f>
        <v>1212</v>
      </c>
      <c r="E198" s="22">
        <f>C198*D198/100</f>
        <v>0</v>
      </c>
    </row>
    <row r="199" spans="1:5" ht="12.75" hidden="1">
      <c r="A199" s="20" t="s">
        <v>9</v>
      </c>
      <c r="B199" s="21" t="s">
        <v>1</v>
      </c>
      <c r="C199" s="44">
        <f>+C151</f>
        <v>0</v>
      </c>
      <c r="D199" s="22">
        <f>D195/220*0.2</f>
        <v>3.3054545454545456</v>
      </c>
      <c r="E199" s="22">
        <f>C199*D199</f>
        <v>0</v>
      </c>
    </row>
    <row r="200" spans="1:5" ht="12.75" hidden="1">
      <c r="A200" s="25" t="s">
        <v>4</v>
      </c>
      <c r="B200" s="23"/>
      <c r="C200" s="23">
        <v>0</v>
      </c>
      <c r="D200" s="24"/>
      <c r="E200" s="26">
        <f>SUM(E195:E199)</f>
        <v>0</v>
      </c>
    </row>
    <row r="201" spans="1:5" ht="12.75" hidden="1">
      <c r="A201" s="20" t="s">
        <v>5</v>
      </c>
      <c r="B201" s="21" t="s">
        <v>3</v>
      </c>
      <c r="C201" s="21">
        <v>0</v>
      </c>
      <c r="D201" s="22">
        <f>E200</f>
        <v>0</v>
      </c>
      <c r="E201" s="22">
        <f>D201*C201/100</f>
        <v>0</v>
      </c>
    </row>
    <row r="202" spans="1:5" ht="12.75" hidden="1">
      <c r="A202" s="25" t="s">
        <v>11</v>
      </c>
      <c r="B202" s="23"/>
      <c r="C202" s="23"/>
      <c r="D202" s="24"/>
      <c r="E202" s="26">
        <f>E200+E201</f>
        <v>0</v>
      </c>
    </row>
    <row r="203" spans="1:5" ht="12.75" hidden="1">
      <c r="A203" s="20" t="s">
        <v>7</v>
      </c>
      <c r="B203" s="21" t="s">
        <v>8</v>
      </c>
      <c r="C203" s="21">
        <v>0</v>
      </c>
      <c r="D203" s="22">
        <f>E202</f>
        <v>0</v>
      </c>
      <c r="E203" s="22">
        <f>C203*D203</f>
        <v>0</v>
      </c>
    </row>
    <row r="204" ht="13.5" hidden="1" thickBot="1">
      <c r="F204" s="27">
        <f>E203</f>
        <v>0</v>
      </c>
    </row>
    <row r="205" ht="11.25" customHeight="1" hidden="1"/>
    <row r="206" ht="12.75" hidden="1">
      <c r="A206" s="13" t="s">
        <v>189</v>
      </c>
    </row>
    <row r="207" spans="1:6" ht="13.5" hidden="1" thickBot="1">
      <c r="A207" s="82" t="s">
        <v>143</v>
      </c>
      <c r="B207" s="83" t="s">
        <v>144</v>
      </c>
      <c r="C207" s="83" t="s">
        <v>59</v>
      </c>
      <c r="D207" s="84" t="s">
        <v>147</v>
      </c>
      <c r="E207" s="84" t="s">
        <v>145</v>
      </c>
      <c r="F207" s="85" t="s">
        <v>146</v>
      </c>
    </row>
    <row r="208" spans="1:5" ht="12.75" hidden="1">
      <c r="A208" s="17" t="s">
        <v>0</v>
      </c>
      <c r="B208" s="18" t="s">
        <v>12</v>
      </c>
      <c r="C208" s="18">
        <v>0</v>
      </c>
      <c r="D208" s="19">
        <f>+D135</f>
        <v>3555</v>
      </c>
      <c r="E208" s="19">
        <f>C208*D208</f>
        <v>0</v>
      </c>
    </row>
    <row r="209" spans="1:5" ht="12.75" hidden="1">
      <c r="A209" s="20" t="s">
        <v>49</v>
      </c>
      <c r="B209" s="21" t="s">
        <v>1</v>
      </c>
      <c r="C209" s="21">
        <f>+C136</f>
        <v>0</v>
      </c>
      <c r="D209" s="22">
        <f>D208/220*2</f>
        <v>32.31818181818182</v>
      </c>
      <c r="E209" s="22">
        <f>C209*D209</f>
        <v>0</v>
      </c>
    </row>
    <row r="210" spans="1:5" ht="12.75" hidden="1">
      <c r="A210" s="20" t="s">
        <v>50</v>
      </c>
      <c r="B210" s="21" t="s">
        <v>1</v>
      </c>
      <c r="C210" s="21">
        <f>+C137</f>
        <v>0</v>
      </c>
      <c r="D210" s="22">
        <f>D208/220*1.5</f>
        <v>24.238636363636367</v>
      </c>
      <c r="E210" s="22">
        <f>C210*D210</f>
        <v>0</v>
      </c>
    </row>
    <row r="211" spans="1:5" ht="12.75" hidden="1">
      <c r="A211" s="25" t="s">
        <v>4</v>
      </c>
      <c r="B211" s="23"/>
      <c r="C211" s="23"/>
      <c r="D211" s="24"/>
      <c r="E211" s="26">
        <f>SUM(E208:E210)</f>
        <v>0</v>
      </c>
    </row>
    <row r="212" spans="1:5" ht="12.75" hidden="1">
      <c r="A212" s="20" t="s">
        <v>5</v>
      </c>
      <c r="B212" s="21" t="s">
        <v>3</v>
      </c>
      <c r="C212" s="21">
        <v>0</v>
      </c>
      <c r="D212" s="22">
        <f>E211</f>
        <v>0</v>
      </c>
      <c r="E212" s="22">
        <f>D212*C212/100</f>
        <v>0</v>
      </c>
    </row>
    <row r="213" spans="1:5" ht="12.75" hidden="1">
      <c r="A213" s="25" t="s">
        <v>138</v>
      </c>
      <c r="B213" s="23"/>
      <c r="C213" s="23"/>
      <c r="D213" s="24"/>
      <c r="E213" s="26">
        <f>E211+E212</f>
        <v>0</v>
      </c>
    </row>
    <row r="214" spans="1:5" ht="12.75" hidden="1">
      <c r="A214" s="20" t="s">
        <v>7</v>
      </c>
      <c r="B214" s="21" t="s">
        <v>8</v>
      </c>
      <c r="C214" s="21">
        <v>0</v>
      </c>
      <c r="D214" s="22">
        <f>E213</f>
        <v>0</v>
      </c>
      <c r="E214" s="22">
        <f>C214*D214</f>
        <v>0</v>
      </c>
    </row>
    <row r="215" ht="13.5" hidden="1" thickBot="1">
      <c r="F215" s="27">
        <f>E214</f>
        <v>0</v>
      </c>
    </row>
    <row r="216" ht="11.25" customHeight="1" hidden="1"/>
    <row r="217" ht="12.75" hidden="1">
      <c r="A217" s="13" t="s">
        <v>190</v>
      </c>
    </row>
    <row r="218" spans="1:6" ht="13.5" hidden="1" thickBot="1">
      <c r="A218" s="82" t="s">
        <v>143</v>
      </c>
      <c r="B218" s="83" t="s">
        <v>144</v>
      </c>
      <c r="C218" s="83" t="s">
        <v>59</v>
      </c>
      <c r="D218" s="84" t="s">
        <v>147</v>
      </c>
      <c r="E218" s="84" t="s">
        <v>145</v>
      </c>
      <c r="F218" s="85" t="s">
        <v>146</v>
      </c>
    </row>
    <row r="219" spans="1:5" ht="12.75" hidden="1">
      <c r="A219" s="17" t="s">
        <v>0</v>
      </c>
      <c r="B219" s="18" t="s">
        <v>12</v>
      </c>
      <c r="C219" s="18">
        <v>0</v>
      </c>
      <c r="D219" s="19">
        <f>+D208</f>
        <v>3555</v>
      </c>
      <c r="E219" s="19">
        <f>C219*D219</f>
        <v>0</v>
      </c>
    </row>
    <row r="220" spans="1:5" ht="12.75" hidden="1">
      <c r="A220" s="20" t="s">
        <v>49</v>
      </c>
      <c r="B220" s="21" t="s">
        <v>1</v>
      </c>
      <c r="C220" s="21">
        <f>+C148</f>
        <v>0</v>
      </c>
      <c r="D220" s="22">
        <f>D219/220*2</f>
        <v>32.31818181818182</v>
      </c>
      <c r="E220" s="22">
        <f>C220*D220</f>
        <v>0</v>
      </c>
    </row>
    <row r="221" spans="1:5" ht="12.75" hidden="1">
      <c r="A221" s="20" t="s">
        <v>167</v>
      </c>
      <c r="B221" s="21" t="s">
        <v>1</v>
      </c>
      <c r="C221" s="21">
        <f>+C149</f>
        <v>0</v>
      </c>
      <c r="D221" s="22">
        <f>D219/220*1.5*1.2</f>
        <v>29.08636363636364</v>
      </c>
      <c r="E221" s="22">
        <f>C221*D221</f>
        <v>0</v>
      </c>
    </row>
    <row r="222" spans="1:5" ht="12.75" hidden="1">
      <c r="A222" s="20" t="s">
        <v>9</v>
      </c>
      <c r="B222" s="21" t="s">
        <v>1</v>
      </c>
      <c r="C222" s="44">
        <f>+C151</f>
        <v>0</v>
      </c>
      <c r="D222" s="22">
        <f>D219/220*0.2</f>
        <v>3.2318181818181824</v>
      </c>
      <c r="E222" s="22">
        <f>C222*D222</f>
        <v>0</v>
      </c>
    </row>
    <row r="223" spans="1:5" ht="12.75" hidden="1">
      <c r="A223" s="25" t="s">
        <v>4</v>
      </c>
      <c r="B223" s="23"/>
      <c r="C223" s="23"/>
      <c r="D223" s="24"/>
      <c r="E223" s="26">
        <f>SUM(E219:E222)</f>
        <v>0</v>
      </c>
    </row>
    <row r="224" spans="1:5" ht="12.75" hidden="1">
      <c r="A224" s="20" t="s">
        <v>5</v>
      </c>
      <c r="B224" s="21" t="s">
        <v>3</v>
      </c>
      <c r="C224" s="21">
        <f>+C212</f>
        <v>0</v>
      </c>
      <c r="D224" s="22">
        <f>E223</f>
        <v>0</v>
      </c>
      <c r="E224" s="22">
        <f>D224*C224/100</f>
        <v>0</v>
      </c>
    </row>
    <row r="225" spans="1:5" ht="12.75" hidden="1">
      <c r="A225" s="25" t="s">
        <v>138</v>
      </c>
      <c r="B225" s="23"/>
      <c r="C225" s="23"/>
      <c r="D225" s="24"/>
      <c r="E225" s="26">
        <f>E223+E224</f>
        <v>0</v>
      </c>
    </row>
    <row r="226" spans="1:5" ht="12.75" hidden="1">
      <c r="A226" s="20" t="s">
        <v>7</v>
      </c>
      <c r="B226" s="21" t="s">
        <v>8</v>
      </c>
      <c r="C226" s="21">
        <v>0</v>
      </c>
      <c r="D226" s="22">
        <f>E225</f>
        <v>0</v>
      </c>
      <c r="E226" s="22">
        <f>C226*D226</f>
        <v>0</v>
      </c>
    </row>
    <row r="227" ht="13.5" hidden="1" thickBot="1">
      <c r="F227" s="27">
        <f>E226</f>
        <v>0</v>
      </c>
    </row>
    <row r="228" ht="11.25" customHeight="1" hidden="1"/>
    <row r="229" ht="12.75" hidden="1">
      <c r="A229" s="13" t="s">
        <v>191</v>
      </c>
    </row>
    <row r="230" spans="1:6" ht="13.5" hidden="1" thickBot="1">
      <c r="A230" s="82" t="s">
        <v>143</v>
      </c>
      <c r="B230" s="83" t="s">
        <v>144</v>
      </c>
      <c r="C230" s="83" t="s">
        <v>59</v>
      </c>
      <c r="D230" s="84" t="s">
        <v>147</v>
      </c>
      <c r="E230" s="84" t="s">
        <v>145</v>
      </c>
      <c r="F230" s="85" t="s">
        <v>146</v>
      </c>
    </row>
    <row r="231" spans="1:5" ht="12.75" hidden="1">
      <c r="A231" s="17" t="s">
        <v>154</v>
      </c>
      <c r="B231" s="18" t="s">
        <v>156</v>
      </c>
      <c r="C231" s="110">
        <v>0</v>
      </c>
      <c r="D231" s="19">
        <f>+ROUND(D237/176*(1+C238/100),0)*80</f>
        <v>1360</v>
      </c>
      <c r="E231" s="19">
        <f>C231*D231</f>
        <v>0</v>
      </c>
    </row>
    <row r="232" spans="1:5" ht="12.75" hidden="1">
      <c r="A232" s="20" t="s">
        <v>155</v>
      </c>
      <c r="B232" s="21" t="s">
        <v>156</v>
      </c>
      <c r="C232" s="111">
        <f>+C231</f>
        <v>0</v>
      </c>
      <c r="D232" s="22">
        <v>9813</v>
      </c>
      <c r="E232" s="19">
        <f>C232*D232</f>
        <v>0</v>
      </c>
    </row>
    <row r="233" ht="13.5" hidden="1" thickBot="1">
      <c r="F233" s="27">
        <f>SUM(E231:E232)</f>
        <v>0</v>
      </c>
    </row>
    <row r="234" ht="11.25" customHeight="1" hidden="1"/>
    <row r="235" ht="13.5" thickBot="1">
      <c r="A235" s="13" t="s">
        <v>243</v>
      </c>
    </row>
    <row r="236" spans="1:6" ht="13.5" thickBot="1">
      <c r="A236" s="82" t="s">
        <v>143</v>
      </c>
      <c r="B236" s="83" t="s">
        <v>144</v>
      </c>
      <c r="C236" s="83" t="s">
        <v>59</v>
      </c>
      <c r="D236" s="84" t="s">
        <v>147</v>
      </c>
      <c r="E236" s="84" t="s">
        <v>145</v>
      </c>
      <c r="F236" s="85" t="s">
        <v>146</v>
      </c>
    </row>
    <row r="237" spans="1:5" ht="12.75">
      <c r="A237" s="17" t="s">
        <v>0</v>
      </c>
      <c r="B237" s="18" t="s">
        <v>12</v>
      </c>
      <c r="C237" s="18">
        <v>1</v>
      </c>
      <c r="D237" s="19">
        <v>2150</v>
      </c>
      <c r="E237" s="19">
        <f>C237*D237</f>
        <v>2150</v>
      </c>
    </row>
    <row r="238" spans="1:5" ht="12.75">
      <c r="A238" s="20" t="s">
        <v>5</v>
      </c>
      <c r="B238" s="21" t="s">
        <v>3</v>
      </c>
      <c r="C238" s="21">
        <v>40</v>
      </c>
      <c r="D238" s="22">
        <f>E237</f>
        <v>2150</v>
      </c>
      <c r="E238" s="22">
        <f>C238*D238/100</f>
        <v>860</v>
      </c>
    </row>
    <row r="239" spans="1:5" ht="12.75">
      <c r="A239" s="20" t="s">
        <v>228</v>
      </c>
      <c r="B239" s="21" t="s">
        <v>8</v>
      </c>
      <c r="C239" s="21">
        <v>1</v>
      </c>
      <c r="D239" s="22">
        <f>E237+E238</f>
        <v>3010</v>
      </c>
      <c r="E239" s="22">
        <f>C239*D239</f>
        <v>3010</v>
      </c>
    </row>
    <row r="240" spans="1:5" ht="12.75">
      <c r="A240" s="71"/>
      <c r="B240" s="135"/>
      <c r="C240" s="135"/>
      <c r="D240" s="137"/>
      <c r="E240" s="137"/>
    </row>
    <row r="241" spans="1:5" ht="13.5" thickBot="1">
      <c r="A241" s="20" t="s">
        <v>244</v>
      </c>
      <c r="B241" s="21">
        <v>6</v>
      </c>
      <c r="C241" s="112">
        <v>10</v>
      </c>
      <c r="D241" s="22">
        <f>E239/C241</f>
        <v>301</v>
      </c>
      <c r="E241" s="22">
        <f>D241*B241</f>
        <v>1806</v>
      </c>
    </row>
    <row r="242" spans="1:6" ht="12.75">
      <c r="A242" s="20" t="s">
        <v>245</v>
      </c>
      <c r="B242" s="21">
        <v>0.15</v>
      </c>
      <c r="C242" s="112">
        <v>2</v>
      </c>
      <c r="D242" s="22">
        <f>E239/C242</f>
        <v>1505</v>
      </c>
      <c r="E242" s="22">
        <f>D242*B242</f>
        <v>225.75</v>
      </c>
      <c r="F242" s="205">
        <f>E242+E241</f>
        <v>2031.75</v>
      </c>
    </row>
    <row r="243" spans="1:6" ht="13.5" thickBot="1">
      <c r="A243" s="71"/>
      <c r="B243" s="135"/>
      <c r="C243" s="136"/>
      <c r="D243" s="137"/>
      <c r="E243" s="137"/>
      <c r="F243" s="206"/>
    </row>
    <row r="244" spans="1:6" ht="13.5" thickBot="1">
      <c r="A244" s="29" t="s">
        <v>84</v>
      </c>
      <c r="B244" s="30"/>
      <c r="C244" s="30"/>
      <c r="D244" s="31"/>
      <c r="E244" s="32"/>
      <c r="F244" s="28">
        <f>F68+F107+F242</f>
        <v>8878.1452224</v>
      </c>
    </row>
    <row r="246" ht="12.75">
      <c r="A246" s="15" t="s">
        <v>83</v>
      </c>
    </row>
    <row r="247" ht="11.25" customHeight="1"/>
    <row r="248" ht="13.5" customHeight="1">
      <c r="A248" s="13" t="s">
        <v>162</v>
      </c>
    </row>
    <row r="249" ht="11.25" customHeight="1" thickBot="1"/>
    <row r="250" spans="1:6" ht="13.5" customHeight="1" thickBot="1">
      <c r="A250" s="82" t="s">
        <v>143</v>
      </c>
      <c r="B250" s="83" t="s">
        <v>144</v>
      </c>
      <c r="C250" s="83" t="s">
        <v>59</v>
      </c>
      <c r="D250" s="84" t="s">
        <v>147</v>
      </c>
      <c r="E250" s="84" t="s">
        <v>145</v>
      </c>
      <c r="F250" s="85" t="s">
        <v>146</v>
      </c>
    </row>
    <row r="251" spans="1:5" ht="12.75">
      <c r="A251" s="17" t="s">
        <v>149</v>
      </c>
      <c r="B251" s="18" t="s">
        <v>13</v>
      </c>
      <c r="C251" s="33">
        <v>0.16666666666666666</v>
      </c>
      <c r="D251" s="19">
        <v>24.93</v>
      </c>
      <c r="E251" s="19">
        <f>C251*D251</f>
        <v>4.154999999999999</v>
      </c>
    </row>
    <row r="252" spans="1:5" ht="12.75" customHeight="1">
      <c r="A252" s="20" t="s">
        <v>43</v>
      </c>
      <c r="B252" s="21" t="s">
        <v>13</v>
      </c>
      <c r="C252" s="33">
        <v>2</v>
      </c>
      <c r="D252" s="22">
        <v>37</v>
      </c>
      <c r="E252" s="22">
        <f>C252*D252</f>
        <v>74</v>
      </c>
    </row>
    <row r="253" spans="1:5" ht="12.75">
      <c r="A253" s="20" t="s">
        <v>150</v>
      </c>
      <c r="B253" s="21" t="s">
        <v>13</v>
      </c>
      <c r="C253" s="33">
        <v>2</v>
      </c>
      <c r="D253" s="22">
        <v>27</v>
      </c>
      <c r="E253" s="22">
        <f aca="true" t="shared" si="1" ref="E253:E261">C253*D253</f>
        <v>54</v>
      </c>
    </row>
    <row r="254" spans="1:5" ht="12.75" customHeight="1">
      <c r="A254" s="20" t="s">
        <v>45</v>
      </c>
      <c r="B254" s="21" t="s">
        <v>13</v>
      </c>
      <c r="C254" s="33">
        <v>2</v>
      </c>
      <c r="D254" s="22">
        <v>12</v>
      </c>
      <c r="E254" s="22">
        <f t="shared" si="1"/>
        <v>24</v>
      </c>
    </row>
    <row r="255" spans="1:5" ht="13.5" customHeight="1">
      <c r="A255" s="20" t="s">
        <v>151</v>
      </c>
      <c r="B255" s="21" t="s">
        <v>88</v>
      </c>
      <c r="C255" s="33">
        <v>2</v>
      </c>
      <c r="D255" s="22">
        <v>58.9</v>
      </c>
      <c r="E255" s="22">
        <f t="shared" si="1"/>
        <v>117.8</v>
      </c>
    </row>
    <row r="256" spans="1:5" ht="12.75" customHeight="1">
      <c r="A256" s="20" t="s">
        <v>148</v>
      </c>
      <c r="B256" s="21" t="s">
        <v>88</v>
      </c>
      <c r="C256" s="33">
        <v>1</v>
      </c>
      <c r="D256" s="22">
        <v>7.8</v>
      </c>
      <c r="E256" s="22">
        <f t="shared" si="1"/>
        <v>7.8</v>
      </c>
    </row>
    <row r="257" spans="1:5" ht="12.75">
      <c r="A257" s="20" t="s">
        <v>152</v>
      </c>
      <c r="B257" s="21" t="s">
        <v>13</v>
      </c>
      <c r="C257" s="33">
        <v>1</v>
      </c>
      <c r="D257" s="22">
        <v>54.9</v>
      </c>
      <c r="E257" s="22">
        <f t="shared" si="1"/>
        <v>54.9</v>
      </c>
    </row>
    <row r="258" spans="1:6" s="1" customFormat="1" ht="12.75">
      <c r="A258" s="3" t="s">
        <v>14</v>
      </c>
      <c r="B258" s="4" t="s">
        <v>13</v>
      </c>
      <c r="C258" s="33">
        <v>1</v>
      </c>
      <c r="D258" s="22">
        <f>(18+32.9)/2</f>
        <v>25.45</v>
      </c>
      <c r="E258" s="22">
        <f t="shared" si="1"/>
        <v>25.45</v>
      </c>
      <c r="F258" s="47"/>
    </row>
    <row r="259" spans="1:5" ht="12.75">
      <c r="A259" s="20" t="s">
        <v>46</v>
      </c>
      <c r="B259" s="21" t="s">
        <v>88</v>
      </c>
      <c r="C259" s="33">
        <v>4</v>
      </c>
      <c r="D259" s="22">
        <v>7.17</v>
      </c>
      <c r="E259" s="22">
        <f t="shared" si="1"/>
        <v>28.68</v>
      </c>
    </row>
    <row r="260" spans="1:5" ht="12.75" customHeight="1">
      <c r="A260" s="20" t="s">
        <v>141</v>
      </c>
      <c r="B260" s="21" t="s">
        <v>89</v>
      </c>
      <c r="C260" s="105">
        <v>2</v>
      </c>
      <c r="D260" s="22">
        <v>13</v>
      </c>
      <c r="E260" s="22">
        <f t="shared" si="1"/>
        <v>26</v>
      </c>
    </row>
    <row r="261" spans="1:5" ht="12.75">
      <c r="A261" s="20" t="s">
        <v>157</v>
      </c>
      <c r="B261" s="21" t="s">
        <v>12</v>
      </c>
      <c r="C261" s="105">
        <v>1</v>
      </c>
      <c r="D261" s="22">
        <v>77.1</v>
      </c>
      <c r="E261" s="22">
        <f t="shared" si="1"/>
        <v>77.1</v>
      </c>
    </row>
    <row r="262" spans="1:5" ht="12.75">
      <c r="A262" s="20" t="s">
        <v>7</v>
      </c>
      <c r="B262" s="21" t="s">
        <v>8</v>
      </c>
      <c r="C262" s="105">
        <f>+C65+C79+C91</f>
        <v>2</v>
      </c>
      <c r="D262" s="22">
        <f>+SUM(E251:E261)</f>
        <v>493.885</v>
      </c>
      <c r="E262" s="22">
        <f>C262*D262</f>
        <v>987.77</v>
      </c>
    </row>
    <row r="263" spans="1:5" ht="12.75">
      <c r="A263" s="71"/>
      <c r="B263" s="135"/>
      <c r="C263" s="138"/>
      <c r="D263" s="137"/>
      <c r="E263" s="137"/>
    </row>
    <row r="264" spans="1:5" ht="12.75">
      <c r="A264" s="20" t="s">
        <v>244</v>
      </c>
      <c r="B264" s="21">
        <v>6</v>
      </c>
      <c r="C264" s="112">
        <v>12</v>
      </c>
      <c r="D264" s="22">
        <f>E262/C264</f>
        <v>82.31416666666667</v>
      </c>
      <c r="E264" s="22">
        <f>D264*B264</f>
        <v>493.885</v>
      </c>
    </row>
    <row r="265" spans="1:5" ht="12.75">
      <c r="A265" s="20" t="s">
        <v>245</v>
      </c>
      <c r="B265" s="21">
        <v>0.15</v>
      </c>
      <c r="C265" s="112">
        <v>2</v>
      </c>
      <c r="D265" s="22">
        <f>E262/C265</f>
        <v>493.885</v>
      </c>
      <c r="E265" s="22">
        <f>D265*B265</f>
        <v>74.08274999999999</v>
      </c>
    </row>
    <row r="266" spans="1:5" ht="13.5" thickBot="1">
      <c r="A266" s="71"/>
      <c r="B266" s="135"/>
      <c r="C266" s="136"/>
      <c r="D266" s="137"/>
      <c r="E266" s="137"/>
    </row>
    <row r="267" spans="1:6" ht="13.5" thickBot="1">
      <c r="A267" s="231" t="s">
        <v>239</v>
      </c>
      <c r="B267" s="232"/>
      <c r="C267" s="232"/>
      <c r="D267" s="232"/>
      <c r="E267" s="233"/>
      <c r="F267" s="28">
        <f>E264</f>
        <v>493.885</v>
      </c>
    </row>
    <row r="268" ht="11.25" customHeight="1"/>
    <row r="269" ht="13.5" customHeight="1" hidden="1">
      <c r="A269" s="13" t="s">
        <v>196</v>
      </c>
    </row>
    <row r="270" ht="11.25" customHeight="1" hidden="1" thickBot="1"/>
    <row r="271" spans="1:6" ht="13.5" hidden="1" thickBot="1">
      <c r="A271" s="82" t="s">
        <v>143</v>
      </c>
      <c r="B271" s="83" t="s">
        <v>144</v>
      </c>
      <c r="C271" s="83" t="s">
        <v>59</v>
      </c>
      <c r="D271" s="84" t="s">
        <v>147</v>
      </c>
      <c r="E271" s="84" t="s">
        <v>145</v>
      </c>
      <c r="F271" s="85" t="s">
        <v>146</v>
      </c>
    </row>
    <row r="272" spans="1:5" ht="12.75" hidden="1">
      <c r="A272" s="17" t="s">
        <v>149</v>
      </c>
      <c r="B272" s="18" t="s">
        <v>13</v>
      </c>
      <c r="C272" s="33"/>
      <c r="D272" s="19">
        <f>+D251</f>
        <v>24.93</v>
      </c>
      <c r="E272" s="19">
        <f aca="true" t="shared" si="2" ref="E272:E278">C272*D272</f>
        <v>0</v>
      </c>
    </row>
    <row r="273" spans="1:5" ht="12.75" hidden="1">
      <c r="A273" s="20" t="s">
        <v>43</v>
      </c>
      <c r="B273" s="21" t="s">
        <v>13</v>
      </c>
      <c r="C273" s="33"/>
      <c r="D273" s="22">
        <f>+D252</f>
        <v>37</v>
      </c>
      <c r="E273" s="22">
        <f t="shared" si="2"/>
        <v>0</v>
      </c>
    </row>
    <row r="274" spans="1:5" ht="12.75" hidden="1">
      <c r="A274" s="20" t="s">
        <v>44</v>
      </c>
      <c r="B274" s="21" t="s">
        <v>13</v>
      </c>
      <c r="C274" s="33"/>
      <c r="D274" s="22">
        <f>+D253</f>
        <v>27</v>
      </c>
      <c r="E274" s="22">
        <f t="shared" si="2"/>
        <v>0</v>
      </c>
    </row>
    <row r="275" spans="1:5" ht="12.75" hidden="1">
      <c r="A275" s="20" t="s">
        <v>153</v>
      </c>
      <c r="B275" s="21" t="s">
        <v>88</v>
      </c>
      <c r="C275" s="33"/>
      <c r="D275" s="22">
        <f>+D255</f>
        <v>58.9</v>
      </c>
      <c r="E275" s="22">
        <f t="shared" si="2"/>
        <v>0</v>
      </c>
    </row>
    <row r="276" spans="1:5" ht="12.75" hidden="1">
      <c r="A276" s="20" t="s">
        <v>152</v>
      </c>
      <c r="B276" s="21" t="s">
        <v>13</v>
      </c>
      <c r="C276" s="33"/>
      <c r="D276" s="22">
        <f>+D257</f>
        <v>54.9</v>
      </c>
      <c r="E276" s="22">
        <f t="shared" si="2"/>
        <v>0</v>
      </c>
    </row>
    <row r="277" spans="1:5" ht="12.75" hidden="1">
      <c r="A277" s="20" t="s">
        <v>141</v>
      </c>
      <c r="B277" s="21" t="s">
        <v>89</v>
      </c>
      <c r="C277" s="105"/>
      <c r="D277" s="22">
        <f>+D260</f>
        <v>13</v>
      </c>
      <c r="E277" s="22">
        <f t="shared" si="2"/>
        <v>0</v>
      </c>
    </row>
    <row r="278" spans="1:5" ht="12.75" hidden="1">
      <c r="A278" s="20" t="s">
        <v>157</v>
      </c>
      <c r="B278" s="21" t="s">
        <v>12</v>
      </c>
      <c r="C278" s="105"/>
      <c r="D278" s="22">
        <v>42.84</v>
      </c>
      <c r="E278" s="22">
        <f t="shared" si="2"/>
        <v>0</v>
      </c>
    </row>
    <row r="279" spans="1:5" ht="12.75" hidden="1">
      <c r="A279" s="20" t="s">
        <v>7</v>
      </c>
      <c r="B279" s="21" t="s">
        <v>8</v>
      </c>
      <c r="C279" s="105"/>
      <c r="D279" s="22">
        <f>+SUM(E272:E278)</f>
        <v>0</v>
      </c>
      <c r="E279" s="22">
        <f>C279*D279</f>
        <v>0</v>
      </c>
    </row>
    <row r="280" ht="13.5" hidden="1" thickBot="1">
      <c r="F280" s="28">
        <v>0</v>
      </c>
    </row>
    <row r="281" ht="11.25" customHeight="1" thickBot="1"/>
    <row r="282" spans="1:6" ht="13.5" thickBot="1">
      <c r="A282" s="29" t="s">
        <v>85</v>
      </c>
      <c r="B282" s="34"/>
      <c r="C282" s="34"/>
      <c r="D282" s="35"/>
      <c r="E282" s="36"/>
      <c r="F282" s="27">
        <f>+F267+F280</f>
        <v>493.885</v>
      </c>
    </row>
    <row r="283" ht="11.25" customHeight="1"/>
    <row r="284" ht="12.75">
      <c r="A284" s="15" t="s">
        <v>119</v>
      </c>
    </row>
    <row r="285" ht="11.25" customHeight="1"/>
    <row r="286" ht="12.75">
      <c r="A286" s="13" t="s">
        <v>252</v>
      </c>
    </row>
    <row r="287" ht="11.25" customHeight="1"/>
    <row r="288" ht="13.5" thickBot="1">
      <c r="A288" s="13" t="s">
        <v>86</v>
      </c>
    </row>
    <row r="289" spans="1:6" ht="13.5" thickBot="1">
      <c r="A289" s="82" t="s">
        <v>143</v>
      </c>
      <c r="B289" s="83" t="s">
        <v>144</v>
      </c>
      <c r="C289" s="83" t="s">
        <v>59</v>
      </c>
      <c r="D289" s="84" t="s">
        <v>147</v>
      </c>
      <c r="E289" s="84" t="s">
        <v>145</v>
      </c>
      <c r="F289" s="85" t="s">
        <v>146</v>
      </c>
    </row>
    <row r="290" spans="1:5" ht="12.75">
      <c r="A290" s="17" t="s">
        <v>237</v>
      </c>
      <c r="B290" s="18" t="s">
        <v>13</v>
      </c>
      <c r="C290" s="18">
        <v>1</v>
      </c>
      <c r="D290" s="19">
        <v>226000</v>
      </c>
      <c r="E290" s="19">
        <f>C290*D290</f>
        <v>226000</v>
      </c>
    </row>
    <row r="291" spans="1:5" ht="12.75" hidden="1">
      <c r="A291" s="20" t="s">
        <v>16</v>
      </c>
      <c r="B291" s="21" t="s">
        <v>13</v>
      </c>
      <c r="C291" s="21">
        <v>0</v>
      </c>
      <c r="D291" s="133">
        <v>100000</v>
      </c>
      <c r="E291" s="22">
        <f>C291*D291</f>
        <v>0</v>
      </c>
    </row>
    <row r="292" spans="1:5" ht="12.75">
      <c r="A292" s="20" t="s">
        <v>17</v>
      </c>
      <c r="B292" s="21" t="s">
        <v>3</v>
      </c>
      <c r="C292" s="21">
        <v>80</v>
      </c>
      <c r="D292" s="22">
        <f>E290</f>
        <v>226000</v>
      </c>
      <c r="E292" s="22">
        <f>C292*D292/100</f>
        <v>180800</v>
      </c>
    </row>
    <row r="293" spans="1:5" ht="12.75" hidden="1">
      <c r="A293" s="20" t="s">
        <v>134</v>
      </c>
      <c r="B293" s="21" t="s">
        <v>3</v>
      </c>
      <c r="C293" s="21">
        <v>90</v>
      </c>
      <c r="D293" s="22">
        <f>E291</f>
        <v>0</v>
      </c>
      <c r="E293" s="22">
        <f>C293*D293/100</f>
        <v>0</v>
      </c>
    </row>
    <row r="294" spans="1:5" ht="12.75">
      <c r="A294" s="20" t="s">
        <v>92</v>
      </c>
      <c r="B294" s="21" t="s">
        <v>12</v>
      </c>
      <c r="C294" s="21">
        <v>60</v>
      </c>
      <c r="D294" s="22">
        <f>E292+E293</f>
        <v>180800</v>
      </c>
      <c r="E294" s="22">
        <f>D294/C294</f>
        <v>3013.3333333333335</v>
      </c>
    </row>
    <row r="295" spans="1:5" ht="13.5" thickBot="1">
      <c r="A295" s="80"/>
      <c r="B295" s="139"/>
      <c r="C295" s="139"/>
      <c r="D295" s="140"/>
      <c r="E295" s="137"/>
    </row>
    <row r="296" spans="1:5" ht="13.5" thickBot="1">
      <c r="A296" s="141" t="s">
        <v>244</v>
      </c>
      <c r="B296" s="142">
        <v>6</v>
      </c>
      <c r="C296" s="143">
        <v>12</v>
      </c>
      <c r="D296" s="144">
        <f>E294/C296</f>
        <v>251.11111111111111</v>
      </c>
      <c r="E296" s="144">
        <f>D296*B296</f>
        <v>1506.6666666666667</v>
      </c>
    </row>
    <row r="297" spans="1:6" ht="13.5" thickBot="1">
      <c r="A297" s="141" t="s">
        <v>253</v>
      </c>
      <c r="B297" s="142">
        <v>0.15</v>
      </c>
      <c r="C297" s="143">
        <v>2</v>
      </c>
      <c r="D297" s="144">
        <f>E294/C297</f>
        <v>1506.6666666666667</v>
      </c>
      <c r="E297" s="144">
        <f>D297*B297</f>
        <v>226</v>
      </c>
      <c r="F297" s="27">
        <f>(E296+E297)/12</f>
        <v>144.38888888888889</v>
      </c>
    </row>
    <row r="298" ht="11.25" customHeight="1"/>
    <row r="299" ht="13.5" thickBot="1">
      <c r="A299" s="13" t="s">
        <v>97</v>
      </c>
    </row>
    <row r="300" spans="1:6" ht="13.5" thickBot="1">
      <c r="A300" s="82" t="s">
        <v>143</v>
      </c>
      <c r="B300" s="83" t="s">
        <v>144</v>
      </c>
      <c r="C300" s="83" t="s">
        <v>59</v>
      </c>
      <c r="D300" s="84" t="s">
        <v>147</v>
      </c>
      <c r="E300" s="84" t="s">
        <v>145</v>
      </c>
      <c r="F300" s="85" t="s">
        <v>146</v>
      </c>
    </row>
    <row r="301" spans="1:6" ht="12.75">
      <c r="A301" s="17" t="s">
        <v>93</v>
      </c>
      <c r="B301" s="18" t="s">
        <v>13</v>
      </c>
      <c r="C301" s="18">
        <v>1</v>
      </c>
      <c r="D301" s="19">
        <v>226000</v>
      </c>
      <c r="E301" s="19">
        <f>C301*D301</f>
        <v>226000</v>
      </c>
      <c r="F301" s="24"/>
    </row>
    <row r="302" spans="1:6" ht="12.75">
      <c r="A302" s="20" t="s">
        <v>18</v>
      </c>
      <c r="B302" s="21" t="s">
        <v>3</v>
      </c>
      <c r="C302" s="21">
        <v>0.5</v>
      </c>
      <c r="D302" s="22">
        <f>E301</f>
        <v>226000</v>
      </c>
      <c r="E302" s="22">
        <f>C302*D302/100</f>
        <v>1130</v>
      </c>
      <c r="F302" s="24"/>
    </row>
    <row r="303" spans="1:6" ht="13.5" thickBot="1">
      <c r="A303" s="71"/>
      <c r="B303" s="135"/>
      <c r="C303" s="135"/>
      <c r="D303" s="137"/>
      <c r="E303" s="137"/>
      <c r="F303" s="24"/>
    </row>
    <row r="304" spans="1:6" ht="13.5" thickBot="1">
      <c r="A304" s="141" t="s">
        <v>244</v>
      </c>
      <c r="B304" s="142">
        <v>6</v>
      </c>
      <c r="C304" s="143">
        <v>12</v>
      </c>
      <c r="D304" s="144">
        <f>E302/C304</f>
        <v>94.16666666666667</v>
      </c>
      <c r="E304" s="144">
        <f>D304*B304</f>
        <v>565</v>
      </c>
      <c r="F304" s="24"/>
    </row>
    <row r="305" spans="1:6" ht="13.5" thickBot="1">
      <c r="A305" s="141" t="s">
        <v>253</v>
      </c>
      <c r="B305" s="142">
        <v>8</v>
      </c>
      <c r="C305" s="143">
        <v>2</v>
      </c>
      <c r="D305" s="144">
        <f>E296/C305</f>
        <v>753.3333333333334</v>
      </c>
      <c r="E305" s="144">
        <f>D305*B305</f>
        <v>6026.666666666667</v>
      </c>
      <c r="F305" s="27">
        <f>(E305+E304)/12</f>
        <v>549.3055555555555</v>
      </c>
    </row>
    <row r="306" ht="11.25" customHeight="1"/>
    <row r="307" ht="13.5" thickBot="1">
      <c r="A307" s="13" t="s">
        <v>98</v>
      </c>
    </row>
    <row r="308" spans="1:6" ht="13.5" thickBot="1">
      <c r="A308" s="82" t="s">
        <v>143</v>
      </c>
      <c r="B308" s="83" t="s">
        <v>144</v>
      </c>
      <c r="C308" s="83" t="s">
        <v>59</v>
      </c>
      <c r="D308" s="84" t="s">
        <v>147</v>
      </c>
      <c r="E308" s="84" t="s">
        <v>145</v>
      </c>
      <c r="F308" s="85" t="s">
        <v>146</v>
      </c>
    </row>
    <row r="309" spans="1:5" ht="12.75">
      <c r="A309" s="17" t="s">
        <v>19</v>
      </c>
      <c r="B309" s="18" t="s">
        <v>13</v>
      </c>
      <c r="C309" s="18">
        <f>C290</f>
        <v>1</v>
      </c>
      <c r="D309" s="19">
        <v>1200</v>
      </c>
      <c r="E309" s="19">
        <f>C309*D309</f>
        <v>1200</v>
      </c>
    </row>
    <row r="310" spans="1:5" ht="12.75">
      <c r="A310" s="20" t="s">
        <v>94</v>
      </c>
      <c r="B310" s="21" t="s">
        <v>13</v>
      </c>
      <c r="C310" s="21">
        <f>C290</f>
        <v>1</v>
      </c>
      <c r="D310" s="22">
        <v>110.38</v>
      </c>
      <c r="E310" s="22">
        <f>C310*D310</f>
        <v>110.38</v>
      </c>
    </row>
    <row r="311" spans="1:6" ht="12.75">
      <c r="A311" s="20" t="s">
        <v>20</v>
      </c>
      <c r="B311" s="21" t="s">
        <v>13</v>
      </c>
      <c r="C311" s="21">
        <f>C290</f>
        <v>1</v>
      </c>
      <c r="D311" s="22">
        <v>1500</v>
      </c>
      <c r="E311" s="22">
        <f>C311*D311</f>
        <v>1500</v>
      </c>
      <c r="F311" s="37"/>
    </row>
    <row r="312" spans="1:5" ht="12.75">
      <c r="A312" s="20" t="s">
        <v>21</v>
      </c>
      <c r="B312" s="21" t="s">
        <v>12</v>
      </c>
      <c r="C312" s="21">
        <v>12</v>
      </c>
      <c r="D312" s="22">
        <v>6580</v>
      </c>
      <c r="E312" s="22">
        <f>D312/C312</f>
        <v>548.3333333333334</v>
      </c>
    </row>
    <row r="313" spans="1:5" ht="13.5" thickBot="1">
      <c r="A313" s="71"/>
      <c r="B313" s="135"/>
      <c r="C313" s="135"/>
      <c r="D313" s="137"/>
      <c r="E313" s="137"/>
    </row>
    <row r="314" spans="1:5" ht="13.5" thickBot="1">
      <c r="A314" s="141" t="s">
        <v>244</v>
      </c>
      <c r="B314" s="142">
        <v>0.17</v>
      </c>
      <c r="C314" s="143">
        <v>12</v>
      </c>
      <c r="D314" s="144">
        <f>E311/C314</f>
        <v>125</v>
      </c>
      <c r="E314" s="144">
        <f>D314*B314</f>
        <v>21.25</v>
      </c>
    </row>
    <row r="315" spans="1:6" ht="13.5" thickBot="1">
      <c r="A315" s="141" t="s">
        <v>253</v>
      </c>
      <c r="B315" s="142">
        <v>0.15</v>
      </c>
      <c r="C315" s="143">
        <v>2</v>
      </c>
      <c r="D315" s="144">
        <f>E312/C315</f>
        <v>274.1666666666667</v>
      </c>
      <c r="E315" s="144">
        <f>D315*B315</f>
        <v>41.125</v>
      </c>
      <c r="F315" s="27">
        <f>E315+E314</f>
        <v>62.375</v>
      </c>
    </row>
    <row r="316" ht="11.25" customHeight="1"/>
    <row r="317" spans="1:2" ht="13.5" thickBot="1">
      <c r="A317" s="13" t="s">
        <v>99</v>
      </c>
      <c r="B317" s="38"/>
    </row>
    <row r="318" spans="1:6" ht="13.5" thickBot="1">
      <c r="A318" s="82" t="s">
        <v>143</v>
      </c>
      <c r="B318" s="83" t="s">
        <v>144</v>
      </c>
      <c r="C318" s="83" t="s">
        <v>59</v>
      </c>
      <c r="D318" s="84" t="s">
        <v>147</v>
      </c>
      <c r="E318" s="84" t="s">
        <v>145</v>
      </c>
      <c r="F318" s="85" t="s">
        <v>146</v>
      </c>
    </row>
    <row r="319" spans="1:5" ht="12.75">
      <c r="A319" s="17" t="s">
        <v>22</v>
      </c>
      <c r="B319" s="18" t="s">
        <v>23</v>
      </c>
      <c r="C319" s="39">
        <v>2</v>
      </c>
      <c r="D319" s="104">
        <v>7.39</v>
      </c>
      <c r="E319" s="19"/>
    </row>
    <row r="320" spans="1:5" ht="12.75">
      <c r="A320" s="20" t="s">
        <v>24</v>
      </c>
      <c r="B320" s="21" t="s">
        <v>25</v>
      </c>
      <c r="C320" s="41">
        <v>540</v>
      </c>
      <c r="D320" s="19">
        <f>+D319/C319</f>
        <v>3.695</v>
      </c>
      <c r="E320" s="22">
        <f>C320*D320</f>
        <v>1995.3</v>
      </c>
    </row>
    <row r="321" spans="1:5" ht="12.75">
      <c r="A321" s="20" t="s">
        <v>26</v>
      </c>
      <c r="B321" s="21" t="s">
        <v>27</v>
      </c>
      <c r="C321" s="40">
        <v>3</v>
      </c>
      <c r="D321" s="22">
        <v>7.78</v>
      </c>
      <c r="E321" s="22"/>
    </row>
    <row r="322" spans="1:5" ht="12.75">
      <c r="A322" s="20" t="s">
        <v>28</v>
      </c>
      <c r="B322" s="21" t="s">
        <v>25</v>
      </c>
      <c r="C322" s="41">
        <f>C320</f>
        <v>540</v>
      </c>
      <c r="D322" s="22">
        <f>+C321*D321</f>
        <v>23.34</v>
      </c>
      <c r="E322" s="22">
        <f>C322*D322/1000</f>
        <v>12.6036</v>
      </c>
    </row>
    <row r="323" spans="1:5" ht="12.75">
      <c r="A323" s="20" t="s">
        <v>29</v>
      </c>
      <c r="B323" s="21" t="s">
        <v>27</v>
      </c>
      <c r="C323" s="40">
        <v>0.85</v>
      </c>
      <c r="D323" s="22">
        <v>9.71</v>
      </c>
      <c r="E323" s="22"/>
    </row>
    <row r="324" spans="1:5" ht="12.75">
      <c r="A324" s="20" t="s">
        <v>30</v>
      </c>
      <c r="B324" s="21" t="s">
        <v>25</v>
      </c>
      <c r="C324" s="41">
        <f>C320</f>
        <v>540</v>
      </c>
      <c r="D324" s="22">
        <f>+C323*D323</f>
        <v>8.2535</v>
      </c>
      <c r="E324" s="22">
        <f>C324*D324/1000</f>
        <v>4.4568900000000005</v>
      </c>
    </row>
    <row r="325" spans="1:5" ht="12.75">
      <c r="A325" s="20" t="s">
        <v>33</v>
      </c>
      <c r="B325" s="21" t="s">
        <v>27</v>
      </c>
      <c r="C325" s="40">
        <v>5</v>
      </c>
      <c r="D325" s="22">
        <v>6.69</v>
      </c>
      <c r="E325" s="22"/>
    </row>
    <row r="326" spans="1:5" ht="12.75">
      <c r="A326" s="20" t="s">
        <v>31</v>
      </c>
      <c r="B326" s="21" t="s">
        <v>25</v>
      </c>
      <c r="C326" s="41">
        <f>C320</f>
        <v>540</v>
      </c>
      <c r="D326" s="22">
        <f>+C325*D325</f>
        <v>33.45</v>
      </c>
      <c r="E326" s="22">
        <f>C326*D326/1000</f>
        <v>18.063</v>
      </c>
    </row>
    <row r="327" spans="1:5" ht="12.75">
      <c r="A327" s="20" t="s">
        <v>32</v>
      </c>
      <c r="B327" s="21" t="s">
        <v>34</v>
      </c>
      <c r="C327" s="21">
        <v>2</v>
      </c>
      <c r="D327" s="22">
        <v>7.72</v>
      </c>
      <c r="E327" s="22"/>
    </row>
    <row r="328" spans="1:5" ht="13.5" thickBot="1">
      <c r="A328" s="20" t="s">
        <v>35</v>
      </c>
      <c r="B328" s="21" t="s">
        <v>25</v>
      </c>
      <c r="C328" s="41">
        <f>C320</f>
        <v>540</v>
      </c>
      <c r="D328" s="22">
        <f>+C327*D327</f>
        <v>15.44</v>
      </c>
      <c r="E328" s="22">
        <f>C328*D328/1000</f>
        <v>8.3376</v>
      </c>
    </row>
    <row r="329" ht="13.5" thickBot="1">
      <c r="F329" s="27">
        <f>SUM(E319:E328)</f>
        <v>2038.76109</v>
      </c>
    </row>
    <row r="330" ht="11.25" customHeight="1"/>
    <row r="331" ht="13.5" thickBot="1">
      <c r="A331" s="13" t="s">
        <v>100</v>
      </c>
    </row>
    <row r="332" spans="1:6" ht="13.5" thickBot="1">
      <c r="A332" s="82" t="s">
        <v>143</v>
      </c>
      <c r="B332" s="83" t="s">
        <v>144</v>
      </c>
      <c r="C332" s="83" t="s">
        <v>59</v>
      </c>
      <c r="D332" s="84" t="s">
        <v>147</v>
      </c>
      <c r="E332" s="84" t="s">
        <v>145</v>
      </c>
      <c r="F332" s="85" t="s">
        <v>146</v>
      </c>
    </row>
    <row r="333" spans="1:5" ht="12.75">
      <c r="A333" s="17" t="s">
        <v>15</v>
      </c>
      <c r="B333" s="18" t="s">
        <v>13</v>
      </c>
      <c r="C333" s="18">
        <v>1</v>
      </c>
      <c r="D333" s="19">
        <v>226000</v>
      </c>
      <c r="E333" s="19">
        <f>C333*D333</f>
        <v>226000</v>
      </c>
    </row>
    <row r="334" spans="1:5" ht="12.75">
      <c r="A334" s="20" t="s">
        <v>16</v>
      </c>
      <c r="B334" s="21" t="s">
        <v>13</v>
      </c>
      <c r="C334" s="21">
        <f>C291</f>
        <v>0</v>
      </c>
      <c r="D334" s="22">
        <f>D291</f>
        <v>100000</v>
      </c>
      <c r="E334" s="22">
        <f>C334*D334</f>
        <v>0</v>
      </c>
    </row>
    <row r="335" spans="1:5" ht="12.75">
      <c r="A335" s="20" t="s">
        <v>91</v>
      </c>
      <c r="B335" s="21" t="s">
        <v>3</v>
      </c>
      <c r="C335" s="112">
        <v>50</v>
      </c>
      <c r="D335" s="22">
        <f>E333+E334</f>
        <v>226000</v>
      </c>
      <c r="E335" s="22">
        <f>C335*D335/100</f>
        <v>113000</v>
      </c>
    </row>
    <row r="336" spans="1:5" ht="12.75">
      <c r="A336" s="20" t="s">
        <v>53</v>
      </c>
      <c r="B336" s="21" t="s">
        <v>12</v>
      </c>
      <c r="C336" s="21">
        <v>60</v>
      </c>
      <c r="D336" s="22">
        <f>E335</f>
        <v>113000</v>
      </c>
      <c r="E336" s="22">
        <f>D336/C336</f>
        <v>1883.3333333333333</v>
      </c>
    </row>
    <row r="337" spans="1:5" ht="13.5" thickBot="1">
      <c r="A337" s="71"/>
      <c r="B337" s="135"/>
      <c r="C337" s="135"/>
      <c r="D337" s="137"/>
      <c r="E337" s="137"/>
    </row>
    <row r="338" spans="1:5" ht="13.5" thickBot="1">
      <c r="A338" s="141" t="s">
        <v>238</v>
      </c>
      <c r="B338" s="142">
        <v>1.2</v>
      </c>
      <c r="C338" s="143">
        <v>12</v>
      </c>
      <c r="D338" s="144">
        <f>E336/C338</f>
        <v>156.94444444444443</v>
      </c>
      <c r="E338" s="144">
        <f>D338*B338</f>
        <v>188.33333333333331</v>
      </c>
    </row>
    <row r="339" spans="1:6" ht="13.5" thickBot="1">
      <c r="A339" s="141" t="s">
        <v>253</v>
      </c>
      <c r="B339" s="142">
        <v>0.015</v>
      </c>
      <c r="C339" s="143">
        <v>2</v>
      </c>
      <c r="D339" s="144">
        <f>E336/C339</f>
        <v>941.6666666666666</v>
      </c>
      <c r="E339" s="144">
        <f>D339*B339</f>
        <v>14.124999999999998</v>
      </c>
      <c r="F339" s="27">
        <f>E339+E338</f>
        <v>202.45833333333331</v>
      </c>
    </row>
    <row r="340" ht="11.25" customHeight="1"/>
    <row r="341" ht="13.5" thickBot="1">
      <c r="A341" s="13" t="s">
        <v>135</v>
      </c>
    </row>
    <row r="342" spans="1:6" ht="13.5" thickBot="1">
      <c r="A342" s="82" t="s">
        <v>143</v>
      </c>
      <c r="B342" s="83" t="s">
        <v>144</v>
      </c>
      <c r="C342" s="83" t="s">
        <v>59</v>
      </c>
      <c r="D342" s="84" t="s">
        <v>147</v>
      </c>
      <c r="E342" s="84" t="s">
        <v>145</v>
      </c>
      <c r="F342" s="85" t="s">
        <v>146</v>
      </c>
    </row>
    <row r="343" spans="1:5" ht="12.75">
      <c r="A343" s="17" t="s">
        <v>47</v>
      </c>
      <c r="B343" s="18" t="s">
        <v>13</v>
      </c>
      <c r="C343" s="18">
        <v>10</v>
      </c>
      <c r="D343" s="19">
        <v>2400</v>
      </c>
      <c r="E343" s="19">
        <f>C343*D343</f>
        <v>24000</v>
      </c>
    </row>
    <row r="344" spans="1:5" ht="12.75">
      <c r="A344" s="17" t="s">
        <v>158</v>
      </c>
      <c r="B344" s="18" t="s">
        <v>13</v>
      </c>
      <c r="C344" s="18">
        <f>C343</f>
        <v>10</v>
      </c>
      <c r="D344" s="19">
        <f>+ROUND(D343*0.3,0)</f>
        <v>720</v>
      </c>
      <c r="E344" s="19">
        <f>C344*D344</f>
        <v>7200</v>
      </c>
    </row>
    <row r="345" spans="1:5" ht="12.75">
      <c r="A345" s="20" t="s">
        <v>159</v>
      </c>
      <c r="B345" s="21" t="s">
        <v>36</v>
      </c>
      <c r="C345" s="41">
        <v>80000</v>
      </c>
      <c r="D345" s="22">
        <f>E343+E344</f>
        <v>31200</v>
      </c>
      <c r="E345" s="22">
        <f>D345/C345</f>
        <v>0.39</v>
      </c>
    </row>
    <row r="346" spans="1:5" ht="13.5" thickBot="1">
      <c r="A346" s="20" t="s">
        <v>122</v>
      </c>
      <c r="B346" s="21" t="s">
        <v>25</v>
      </c>
      <c r="C346" s="41">
        <f>C320</f>
        <v>540</v>
      </c>
      <c r="D346" s="22">
        <v>0.9</v>
      </c>
      <c r="E346" s="22">
        <f>C346*D346</f>
        <v>486</v>
      </c>
    </row>
    <row r="347" ht="13.5" thickBot="1">
      <c r="F347" s="27">
        <f>E346</f>
        <v>486</v>
      </c>
    </row>
    <row r="348" ht="11.25" customHeight="1" thickBot="1"/>
    <row r="349" spans="1:6" ht="13.5" thickBot="1">
      <c r="A349" s="43" t="s">
        <v>37</v>
      </c>
      <c r="B349" s="225">
        <f>F347+F339+F329+F315+F305+F297</f>
        <v>3483.2888677777773</v>
      </c>
      <c r="C349" s="226"/>
      <c r="F349" s="42"/>
    </row>
    <row r="350" ht="11.25" customHeight="1"/>
    <row r="351" ht="12.75" hidden="1">
      <c r="A351" s="13" t="s">
        <v>197</v>
      </c>
    </row>
    <row r="352" ht="11.25" customHeight="1" hidden="1"/>
    <row r="353" ht="12.75" hidden="1">
      <c r="A353" s="13" t="s">
        <v>96</v>
      </c>
    </row>
    <row r="354" spans="1:6" ht="13.5" hidden="1" thickBot="1">
      <c r="A354" s="82" t="s">
        <v>143</v>
      </c>
      <c r="B354" s="83" t="s">
        <v>144</v>
      </c>
      <c r="C354" s="83" t="s">
        <v>59</v>
      </c>
      <c r="D354" s="84" t="s">
        <v>147</v>
      </c>
      <c r="E354" s="84" t="s">
        <v>145</v>
      </c>
      <c r="F354" s="85" t="s">
        <v>146</v>
      </c>
    </row>
    <row r="355" spans="1:5" ht="12.75" hidden="1">
      <c r="A355" s="17" t="s">
        <v>229</v>
      </c>
      <c r="B355" s="18" t="s">
        <v>13</v>
      </c>
      <c r="C355" s="18">
        <v>0</v>
      </c>
      <c r="D355" s="19">
        <v>268000</v>
      </c>
      <c r="E355" s="19">
        <f>C355*D355</f>
        <v>0</v>
      </c>
    </row>
    <row r="356" spans="1:5" ht="12.75" hidden="1">
      <c r="A356" s="20" t="s">
        <v>16</v>
      </c>
      <c r="B356" s="21" t="s">
        <v>13</v>
      </c>
      <c r="C356" s="21">
        <f>+C355</f>
        <v>0</v>
      </c>
      <c r="D356" s="22">
        <v>105000</v>
      </c>
      <c r="E356" s="22">
        <f>C356*D356</f>
        <v>0</v>
      </c>
    </row>
    <row r="357" spans="1:5" ht="12.75" hidden="1">
      <c r="A357" s="20" t="s">
        <v>17</v>
      </c>
      <c r="B357" s="21" t="s">
        <v>3</v>
      </c>
      <c r="C357" s="21">
        <f>+C$292</f>
        <v>80</v>
      </c>
      <c r="D357" s="22">
        <f>E355</f>
        <v>0</v>
      </c>
      <c r="E357" s="22">
        <f>C357*D357/100</f>
        <v>0</v>
      </c>
    </row>
    <row r="358" spans="1:5" ht="12.75" hidden="1">
      <c r="A358" s="20" t="s">
        <v>95</v>
      </c>
      <c r="B358" s="21" t="s">
        <v>3</v>
      </c>
      <c r="C358" s="21">
        <f>+C$293</f>
        <v>90</v>
      </c>
      <c r="D358" s="22">
        <f>E356</f>
        <v>0</v>
      </c>
      <c r="E358" s="22">
        <f>C358*D358/100</f>
        <v>0</v>
      </c>
    </row>
    <row r="359" spans="1:5" ht="12.75" hidden="1">
      <c r="A359" s="20" t="s">
        <v>92</v>
      </c>
      <c r="B359" s="21" t="s">
        <v>12</v>
      </c>
      <c r="C359" s="21">
        <f>+C$294</f>
        <v>60</v>
      </c>
      <c r="D359" s="22">
        <f>E357+E358</f>
        <v>0</v>
      </c>
      <c r="E359" s="22">
        <f>D359/C359</f>
        <v>0</v>
      </c>
    </row>
    <row r="360" spans="1:6" ht="13.5" hidden="1" thickBot="1">
      <c r="A360" s="229" t="s">
        <v>235</v>
      </c>
      <c r="B360" s="229"/>
      <c r="C360" s="229"/>
      <c r="D360" s="229"/>
      <c r="F360" s="27">
        <f>E359</f>
        <v>0</v>
      </c>
    </row>
    <row r="361" spans="1:4" ht="26.25" customHeight="1" hidden="1">
      <c r="A361" s="230"/>
      <c r="B361" s="230"/>
      <c r="C361" s="230"/>
      <c r="D361" s="230"/>
    </row>
    <row r="362" ht="11.25" customHeight="1" hidden="1"/>
    <row r="363" ht="12.75" hidden="1">
      <c r="A363" s="13" t="s">
        <v>101</v>
      </c>
    </row>
    <row r="364" spans="1:6" ht="13.5" hidden="1" thickBot="1">
      <c r="A364" s="82" t="s">
        <v>143</v>
      </c>
      <c r="B364" s="83" t="s">
        <v>144</v>
      </c>
      <c r="C364" s="83" t="s">
        <v>59</v>
      </c>
      <c r="D364" s="84" t="s">
        <v>147</v>
      </c>
      <c r="E364" s="84" t="s">
        <v>145</v>
      </c>
      <c r="F364" s="85" t="s">
        <v>146</v>
      </c>
    </row>
    <row r="365" spans="1:6" ht="12.75" hidden="1">
      <c r="A365" s="17" t="s">
        <v>93</v>
      </c>
      <c r="B365" s="18" t="s">
        <v>13</v>
      </c>
      <c r="C365" s="18">
        <v>1</v>
      </c>
      <c r="D365" s="19">
        <f>E355+E356</f>
        <v>0</v>
      </c>
      <c r="E365" s="19">
        <f>+D365*C365</f>
        <v>0</v>
      </c>
      <c r="F365" s="24"/>
    </row>
    <row r="366" spans="1:6" ht="12.75" hidden="1">
      <c r="A366" s="20" t="s">
        <v>18</v>
      </c>
      <c r="B366" s="21" t="s">
        <v>3</v>
      </c>
      <c r="C366" s="21">
        <f>+C$302</f>
        <v>0.5</v>
      </c>
      <c r="D366" s="22">
        <f>E365</f>
        <v>0</v>
      </c>
      <c r="E366" s="22">
        <f>C366*D366/100</f>
        <v>0</v>
      </c>
      <c r="F366" s="24"/>
    </row>
    <row r="367" spans="3:6" ht="13.5" hidden="1" thickBot="1">
      <c r="C367" s="23"/>
      <c r="D367" s="24"/>
      <c r="E367" s="24"/>
      <c r="F367" s="27">
        <f>E366</f>
        <v>0</v>
      </c>
    </row>
    <row r="368" ht="11.25" customHeight="1" hidden="1"/>
    <row r="369" ht="12.75" hidden="1">
      <c r="A369" s="13" t="s">
        <v>102</v>
      </c>
    </row>
    <row r="370" spans="1:6" ht="13.5" hidden="1" thickBot="1">
      <c r="A370" s="82" t="s">
        <v>143</v>
      </c>
      <c r="B370" s="83" t="s">
        <v>144</v>
      </c>
      <c r="C370" s="83" t="s">
        <v>59</v>
      </c>
      <c r="D370" s="84" t="s">
        <v>147</v>
      </c>
      <c r="E370" s="84" t="s">
        <v>145</v>
      </c>
      <c r="F370" s="85" t="s">
        <v>146</v>
      </c>
    </row>
    <row r="371" spans="1:5" ht="12.75" hidden="1">
      <c r="A371" s="17" t="s">
        <v>19</v>
      </c>
      <c r="B371" s="18" t="s">
        <v>13</v>
      </c>
      <c r="C371" s="18">
        <f>C355</f>
        <v>0</v>
      </c>
      <c r="D371" s="19">
        <f>0.01*D355</f>
        <v>2680</v>
      </c>
      <c r="E371" s="19">
        <f>C371*D371</f>
        <v>0</v>
      </c>
    </row>
    <row r="372" spans="1:5" ht="12.75" hidden="1">
      <c r="A372" s="20" t="s">
        <v>94</v>
      </c>
      <c r="B372" s="21" t="s">
        <v>13</v>
      </c>
      <c r="C372" s="21">
        <f>C355</f>
        <v>0</v>
      </c>
      <c r="D372" s="22">
        <f>+D$310</f>
        <v>110.38</v>
      </c>
      <c r="E372" s="22">
        <f>C372*D372</f>
        <v>0</v>
      </c>
    </row>
    <row r="373" spans="1:6" ht="12.75" hidden="1">
      <c r="A373" s="20" t="s">
        <v>20</v>
      </c>
      <c r="B373" s="21" t="s">
        <v>13</v>
      </c>
      <c r="C373" s="21">
        <f>C355</f>
        <v>0</v>
      </c>
      <c r="D373" s="22">
        <f>+D$311</f>
        <v>1500</v>
      </c>
      <c r="E373" s="22">
        <f>C373*D373</f>
        <v>0</v>
      </c>
      <c r="F373" s="37"/>
    </row>
    <row r="374" spans="1:5" ht="12.75" hidden="1">
      <c r="A374" s="20" t="s">
        <v>21</v>
      </c>
      <c r="B374" s="21" t="s">
        <v>12</v>
      </c>
      <c r="C374" s="21">
        <v>12</v>
      </c>
      <c r="D374" s="22">
        <f>SUM(E371:E373)</f>
        <v>0</v>
      </c>
      <c r="E374" s="22">
        <f>D374/C374</f>
        <v>0</v>
      </c>
    </row>
    <row r="375" ht="13.5" hidden="1" thickBot="1">
      <c r="F375" s="27">
        <f>E374</f>
        <v>0</v>
      </c>
    </row>
    <row r="376" ht="11.25" customHeight="1" hidden="1"/>
    <row r="377" spans="1:2" ht="12.75" hidden="1">
      <c r="A377" s="13" t="s">
        <v>103</v>
      </c>
      <c r="B377" s="38"/>
    </row>
    <row r="378" spans="1:6" ht="13.5" hidden="1" thickBot="1">
      <c r="A378" s="82" t="s">
        <v>143</v>
      </c>
      <c r="B378" s="83" t="s">
        <v>144</v>
      </c>
      <c r="C378" s="83" t="s">
        <v>59</v>
      </c>
      <c r="D378" s="84" t="s">
        <v>147</v>
      </c>
      <c r="E378" s="84" t="s">
        <v>145</v>
      </c>
      <c r="F378" s="85" t="s">
        <v>146</v>
      </c>
    </row>
    <row r="379" spans="1:5" ht="12.75" hidden="1">
      <c r="A379" s="17" t="s">
        <v>22</v>
      </c>
      <c r="B379" s="18" t="s">
        <v>23</v>
      </c>
      <c r="C379" s="39">
        <v>1.5</v>
      </c>
      <c r="D379" s="104">
        <f>+D$319</f>
        <v>7.39</v>
      </c>
      <c r="E379" s="19"/>
    </row>
    <row r="380" spans="1:5" ht="12.75" hidden="1">
      <c r="A380" s="20" t="s">
        <v>24</v>
      </c>
      <c r="B380" s="21" t="s">
        <v>25</v>
      </c>
      <c r="C380" s="41">
        <v>0</v>
      </c>
      <c r="D380" s="19">
        <f>+D379/C379</f>
        <v>4.926666666666667</v>
      </c>
      <c r="E380" s="22">
        <f>C380*D380</f>
        <v>0</v>
      </c>
    </row>
    <row r="381" spans="1:5" ht="12.75" hidden="1">
      <c r="A381" s="20" t="s">
        <v>26</v>
      </c>
      <c r="B381" s="21" t="s">
        <v>27</v>
      </c>
      <c r="C381" s="40">
        <v>6</v>
      </c>
      <c r="D381" s="22">
        <f>+D$321</f>
        <v>7.78</v>
      </c>
      <c r="E381" s="22"/>
    </row>
    <row r="382" spans="1:5" ht="12.75" hidden="1">
      <c r="A382" s="20" t="s">
        <v>28</v>
      </c>
      <c r="B382" s="21" t="s">
        <v>25</v>
      </c>
      <c r="C382" s="41">
        <f>C380</f>
        <v>0</v>
      </c>
      <c r="D382" s="22">
        <f>+C381*D381</f>
        <v>46.68</v>
      </c>
      <c r="E382" s="22">
        <f>C382*D382/1000</f>
        <v>0</v>
      </c>
    </row>
    <row r="383" spans="1:5" ht="12.75" hidden="1">
      <c r="A383" s="20" t="s">
        <v>29</v>
      </c>
      <c r="B383" s="21" t="s">
        <v>27</v>
      </c>
      <c r="C383" s="40">
        <v>0.85</v>
      </c>
      <c r="D383" s="22">
        <f>+D$323</f>
        <v>9.71</v>
      </c>
      <c r="E383" s="22"/>
    </row>
    <row r="384" spans="1:5" ht="12.75" hidden="1">
      <c r="A384" s="20" t="s">
        <v>30</v>
      </c>
      <c r="B384" s="21" t="s">
        <v>25</v>
      </c>
      <c r="C384" s="41">
        <f>C380</f>
        <v>0</v>
      </c>
      <c r="D384" s="22">
        <f>+C383*D383</f>
        <v>8.2535</v>
      </c>
      <c r="E384" s="22">
        <f>C384*D384/1000</f>
        <v>0</v>
      </c>
    </row>
    <row r="385" spans="1:5" ht="12.75" hidden="1">
      <c r="A385" s="20" t="s">
        <v>33</v>
      </c>
      <c r="B385" s="21" t="s">
        <v>27</v>
      </c>
      <c r="C385" s="40">
        <v>5</v>
      </c>
      <c r="D385" s="22">
        <f>+D$325</f>
        <v>6.69</v>
      </c>
      <c r="E385" s="22"/>
    </row>
    <row r="386" spans="1:5" ht="12.75" hidden="1">
      <c r="A386" s="20" t="s">
        <v>31</v>
      </c>
      <c r="B386" s="21" t="s">
        <v>25</v>
      </c>
      <c r="C386" s="41">
        <f>C380</f>
        <v>0</v>
      </c>
      <c r="D386" s="22">
        <f>+C385*D385</f>
        <v>33.45</v>
      </c>
      <c r="E386" s="22">
        <f>C386*D386/1000</f>
        <v>0</v>
      </c>
    </row>
    <row r="387" spans="1:5" ht="12.75" hidden="1">
      <c r="A387" s="20" t="s">
        <v>32</v>
      </c>
      <c r="B387" s="21" t="s">
        <v>34</v>
      </c>
      <c r="C387" s="21">
        <v>2</v>
      </c>
      <c r="D387" s="22">
        <f>+D$327</f>
        <v>7.72</v>
      </c>
      <c r="E387" s="22"/>
    </row>
    <row r="388" spans="1:5" ht="12.75" hidden="1">
      <c r="A388" s="20" t="s">
        <v>35</v>
      </c>
      <c r="B388" s="21" t="s">
        <v>25</v>
      </c>
      <c r="C388" s="41">
        <f>C380</f>
        <v>0</v>
      </c>
      <c r="D388" s="22">
        <f>+C387*D387</f>
        <v>15.44</v>
      </c>
      <c r="E388" s="22">
        <f>C388*D388/1000</f>
        <v>0</v>
      </c>
    </row>
    <row r="389" ht="13.5" hidden="1" thickBot="1">
      <c r="F389" s="27">
        <f>SUM(E379:E388)</f>
        <v>0</v>
      </c>
    </row>
    <row r="390" ht="11.25" customHeight="1" hidden="1"/>
    <row r="391" ht="12.75" hidden="1">
      <c r="A391" s="13" t="s">
        <v>104</v>
      </c>
    </row>
    <row r="392" spans="1:6" ht="13.5" hidden="1" thickBot="1">
      <c r="A392" s="82" t="s">
        <v>143</v>
      </c>
      <c r="B392" s="83" t="s">
        <v>144</v>
      </c>
      <c r="C392" s="83" t="s">
        <v>59</v>
      </c>
      <c r="D392" s="84" t="s">
        <v>147</v>
      </c>
      <c r="E392" s="84" t="s">
        <v>145</v>
      </c>
      <c r="F392" s="85" t="s">
        <v>146</v>
      </c>
    </row>
    <row r="393" spans="1:5" ht="12.75" hidden="1">
      <c r="A393" s="17" t="s">
        <v>15</v>
      </c>
      <c r="B393" s="18" t="s">
        <v>13</v>
      </c>
      <c r="C393" s="18">
        <f>C355</f>
        <v>0</v>
      </c>
      <c r="D393" s="19">
        <f>D355</f>
        <v>268000</v>
      </c>
      <c r="E393" s="19">
        <f>C393*D393</f>
        <v>0</v>
      </c>
    </row>
    <row r="394" spans="1:5" ht="12.75" hidden="1">
      <c r="A394" s="20" t="s">
        <v>16</v>
      </c>
      <c r="B394" s="21" t="s">
        <v>13</v>
      </c>
      <c r="C394" s="21">
        <f>C356</f>
        <v>0</v>
      </c>
      <c r="D394" s="22">
        <f>D356</f>
        <v>105000</v>
      </c>
      <c r="E394" s="22">
        <f>C394*D394</f>
        <v>0</v>
      </c>
    </row>
    <row r="395" spans="1:5" ht="12.75" hidden="1">
      <c r="A395" s="20" t="s">
        <v>91</v>
      </c>
      <c r="B395" s="21" t="s">
        <v>3</v>
      </c>
      <c r="C395" s="21">
        <f>+C$335</f>
        <v>50</v>
      </c>
      <c r="D395" s="22">
        <f>SUM(E393:E394)</f>
        <v>0</v>
      </c>
      <c r="E395" s="22">
        <f>C395*D395/100</f>
        <v>0</v>
      </c>
    </row>
    <row r="396" spans="1:5" ht="12.75" hidden="1">
      <c r="A396" s="20" t="s">
        <v>53</v>
      </c>
      <c r="B396" s="21" t="s">
        <v>12</v>
      </c>
      <c r="C396" s="21">
        <f>+C$336</f>
        <v>60</v>
      </c>
      <c r="D396" s="22">
        <f>E395</f>
        <v>0</v>
      </c>
      <c r="E396" s="22">
        <f>D396/C396</f>
        <v>0</v>
      </c>
    </row>
    <row r="397" ht="13.5" hidden="1" thickBot="1">
      <c r="F397" s="27">
        <f>E396</f>
        <v>0</v>
      </c>
    </row>
    <row r="398" ht="11.25" customHeight="1" hidden="1"/>
    <row r="399" ht="12.75" hidden="1">
      <c r="A399" s="13" t="s">
        <v>136</v>
      </c>
    </row>
    <row r="400" spans="1:6" ht="13.5" hidden="1" thickBot="1">
      <c r="A400" s="82" t="s">
        <v>143</v>
      </c>
      <c r="B400" s="83" t="s">
        <v>144</v>
      </c>
      <c r="C400" s="83" t="s">
        <v>59</v>
      </c>
      <c r="D400" s="84" t="s">
        <v>147</v>
      </c>
      <c r="E400" s="84" t="s">
        <v>145</v>
      </c>
      <c r="F400" s="85" t="s">
        <v>146</v>
      </c>
    </row>
    <row r="401" spans="1:5" ht="12.75" hidden="1">
      <c r="A401" s="17" t="s">
        <v>47</v>
      </c>
      <c r="B401" s="18" t="s">
        <v>13</v>
      </c>
      <c r="C401" s="18">
        <v>10</v>
      </c>
      <c r="D401" s="19">
        <f>+D343</f>
        <v>2400</v>
      </c>
      <c r="E401" s="19">
        <f>C401*D401</f>
        <v>24000</v>
      </c>
    </row>
    <row r="402" spans="1:5" ht="12.75" hidden="1">
      <c r="A402" s="17" t="s">
        <v>158</v>
      </c>
      <c r="B402" s="18" t="s">
        <v>13</v>
      </c>
      <c r="C402" s="18">
        <f>C401</f>
        <v>10</v>
      </c>
      <c r="D402" s="19">
        <f>D$344</f>
        <v>720</v>
      </c>
      <c r="E402" s="19">
        <f>C402*D402</f>
        <v>7200</v>
      </c>
    </row>
    <row r="403" spans="1:5" ht="12.75" hidden="1">
      <c r="A403" s="20" t="s">
        <v>159</v>
      </c>
      <c r="B403" s="21" t="s">
        <v>36</v>
      </c>
      <c r="C403" s="41">
        <v>70000</v>
      </c>
      <c r="D403" s="22">
        <f>E401+E402</f>
        <v>31200</v>
      </c>
      <c r="E403" s="22">
        <f>D403/C403</f>
        <v>0.44571428571428573</v>
      </c>
    </row>
    <row r="404" spans="1:5" ht="12.75" hidden="1">
      <c r="A404" s="20" t="s">
        <v>122</v>
      </c>
      <c r="B404" s="21" t="s">
        <v>25</v>
      </c>
      <c r="C404" s="41">
        <f>C380</f>
        <v>0</v>
      </c>
      <c r="D404" s="22">
        <f>E403</f>
        <v>0.44571428571428573</v>
      </c>
      <c r="E404" s="22">
        <f>C404*D404</f>
        <v>0</v>
      </c>
    </row>
    <row r="405" ht="13.5" hidden="1" thickBot="1">
      <c r="F405" s="27">
        <f>E404</f>
        <v>0</v>
      </c>
    </row>
    <row r="406" ht="11.25" customHeight="1" hidden="1" thickBot="1"/>
    <row r="407" spans="1:6" ht="13.5" hidden="1" thickBot="1">
      <c r="A407" s="43" t="s">
        <v>38</v>
      </c>
      <c r="B407" s="225">
        <f>F405+F397+F389+F375+F367+F360</f>
        <v>0</v>
      </c>
      <c r="C407" s="226"/>
      <c r="F407" s="42"/>
    </row>
    <row r="408" ht="11.25" customHeight="1" hidden="1"/>
    <row r="409" ht="12.75" hidden="1">
      <c r="A409" s="69" t="s">
        <v>163</v>
      </c>
    </row>
    <row r="410" ht="11.25" customHeight="1" hidden="1"/>
    <row r="411" ht="12.75" hidden="1">
      <c r="A411" s="13" t="s">
        <v>105</v>
      </c>
    </row>
    <row r="412" spans="1:6" ht="13.5" hidden="1" thickBot="1">
      <c r="A412" s="82" t="s">
        <v>143</v>
      </c>
      <c r="B412" s="83" t="s">
        <v>144</v>
      </c>
      <c r="C412" s="83" t="s">
        <v>59</v>
      </c>
      <c r="D412" s="84" t="s">
        <v>147</v>
      </c>
      <c r="E412" s="84" t="s">
        <v>145</v>
      </c>
      <c r="F412" s="85" t="s">
        <v>146</v>
      </c>
    </row>
    <row r="413" spans="1:5" ht="12.75" hidden="1">
      <c r="A413" s="17" t="s">
        <v>15</v>
      </c>
      <c r="B413" s="18" t="s">
        <v>13</v>
      </c>
      <c r="C413" s="18">
        <v>0</v>
      </c>
      <c r="D413" s="19">
        <v>118405</v>
      </c>
      <c r="E413" s="19">
        <f>C413*D413</f>
        <v>0</v>
      </c>
    </row>
    <row r="414" spans="1:5" ht="12.75" hidden="1">
      <c r="A414" s="20" t="s">
        <v>16</v>
      </c>
      <c r="B414" s="21" t="s">
        <v>13</v>
      </c>
      <c r="C414" s="21">
        <f>+C413</f>
        <v>0</v>
      </c>
      <c r="D414" s="22">
        <v>53000</v>
      </c>
      <c r="E414" s="22">
        <f>C414*D414</f>
        <v>0</v>
      </c>
    </row>
    <row r="415" spans="1:5" ht="12.75" hidden="1">
      <c r="A415" s="20" t="s">
        <v>17</v>
      </c>
      <c r="B415" s="21" t="s">
        <v>3</v>
      </c>
      <c r="C415" s="21">
        <f>+C$292</f>
        <v>80</v>
      </c>
      <c r="D415" s="22">
        <f>E413</f>
        <v>0</v>
      </c>
      <c r="E415" s="22">
        <f>C415*D415/100</f>
        <v>0</v>
      </c>
    </row>
    <row r="416" spans="1:5" ht="12.75" hidden="1">
      <c r="A416" s="20" t="s">
        <v>110</v>
      </c>
      <c r="B416" s="21" t="s">
        <v>3</v>
      </c>
      <c r="C416" s="21">
        <f>+C$293</f>
        <v>90</v>
      </c>
      <c r="D416" s="22">
        <f>E414</f>
        <v>0</v>
      </c>
      <c r="E416" s="22">
        <f>C416*D416/100</f>
        <v>0</v>
      </c>
    </row>
    <row r="417" spans="1:5" ht="12.75" hidden="1">
      <c r="A417" s="20" t="s">
        <v>92</v>
      </c>
      <c r="B417" s="21" t="s">
        <v>12</v>
      </c>
      <c r="C417" s="21">
        <f>+C$294</f>
        <v>60</v>
      </c>
      <c r="D417" s="22">
        <f>E415+E416</f>
        <v>0</v>
      </c>
      <c r="E417" s="22">
        <f>D417/C417</f>
        <v>0</v>
      </c>
    </row>
    <row r="418" ht="13.5" hidden="1" thickBot="1">
      <c r="F418" s="27">
        <f>E417</f>
        <v>0</v>
      </c>
    </row>
    <row r="419" ht="11.25" customHeight="1" hidden="1"/>
    <row r="420" ht="12.75" hidden="1">
      <c r="A420" s="13" t="s">
        <v>106</v>
      </c>
    </row>
    <row r="421" spans="1:6" ht="13.5" hidden="1" thickBot="1">
      <c r="A421" s="82" t="s">
        <v>143</v>
      </c>
      <c r="B421" s="83" t="s">
        <v>144</v>
      </c>
      <c r="C421" s="83" t="s">
        <v>59</v>
      </c>
      <c r="D421" s="84" t="s">
        <v>147</v>
      </c>
      <c r="E421" s="84" t="s">
        <v>145</v>
      </c>
      <c r="F421" s="85" t="s">
        <v>146</v>
      </c>
    </row>
    <row r="422" spans="1:6" ht="12.75" hidden="1">
      <c r="A422" s="17" t="s">
        <v>93</v>
      </c>
      <c r="B422" s="18" t="s">
        <v>13</v>
      </c>
      <c r="C422" s="18">
        <v>1</v>
      </c>
      <c r="D422" s="19">
        <f>E413+E414</f>
        <v>0</v>
      </c>
      <c r="E422" s="19">
        <f>C422*D422</f>
        <v>0</v>
      </c>
      <c r="F422" s="24"/>
    </row>
    <row r="423" spans="1:6" ht="12.75" hidden="1">
      <c r="A423" s="20" t="s">
        <v>18</v>
      </c>
      <c r="B423" s="21" t="s">
        <v>3</v>
      </c>
      <c r="C423" s="21">
        <f>+C$302</f>
        <v>0.5</v>
      </c>
      <c r="D423" s="22">
        <f>E422</f>
        <v>0</v>
      </c>
      <c r="E423" s="22">
        <f>C423*D423/100</f>
        <v>0</v>
      </c>
      <c r="F423" s="24"/>
    </row>
    <row r="424" spans="3:6" ht="13.5" hidden="1" thickBot="1">
      <c r="C424" s="23"/>
      <c r="D424" s="24"/>
      <c r="E424" s="24"/>
      <c r="F424" s="27">
        <f>E423</f>
        <v>0</v>
      </c>
    </row>
    <row r="425" ht="11.25" customHeight="1" hidden="1"/>
    <row r="426" ht="12.75" hidden="1">
      <c r="A426" s="13" t="s">
        <v>107</v>
      </c>
    </row>
    <row r="427" spans="1:6" ht="13.5" hidden="1" thickBot="1">
      <c r="A427" s="82" t="s">
        <v>143</v>
      </c>
      <c r="B427" s="83" t="s">
        <v>144</v>
      </c>
      <c r="C427" s="83" t="s">
        <v>59</v>
      </c>
      <c r="D427" s="84" t="s">
        <v>147</v>
      </c>
      <c r="E427" s="84" t="s">
        <v>145</v>
      </c>
      <c r="F427" s="85" t="s">
        <v>146</v>
      </c>
    </row>
    <row r="428" spans="1:5" ht="12.75" hidden="1">
      <c r="A428" s="17" t="s">
        <v>19</v>
      </c>
      <c r="B428" s="18" t="s">
        <v>13</v>
      </c>
      <c r="C428" s="18">
        <f>C413</f>
        <v>0</v>
      </c>
      <c r="D428" s="19">
        <f>0.01*D413</f>
        <v>1184.05</v>
      </c>
      <c r="E428" s="19">
        <f>C428*D428</f>
        <v>0</v>
      </c>
    </row>
    <row r="429" spans="1:5" ht="12.75" hidden="1">
      <c r="A429" s="20" t="s">
        <v>94</v>
      </c>
      <c r="B429" s="21" t="s">
        <v>13</v>
      </c>
      <c r="C429" s="21">
        <f>C413</f>
        <v>0</v>
      </c>
      <c r="D429" s="22">
        <f>+D$310</f>
        <v>110.38</v>
      </c>
      <c r="E429" s="22">
        <f>C429*D429</f>
        <v>0</v>
      </c>
    </row>
    <row r="430" spans="1:6" ht="12.75" hidden="1">
      <c r="A430" s="20" t="s">
        <v>20</v>
      </c>
      <c r="B430" s="21" t="s">
        <v>13</v>
      </c>
      <c r="C430" s="21">
        <f>C413</f>
        <v>0</v>
      </c>
      <c r="D430" s="22">
        <f>+D$311</f>
        <v>1500</v>
      </c>
      <c r="E430" s="22">
        <f>C430*D430</f>
        <v>0</v>
      </c>
      <c r="F430" s="37"/>
    </row>
    <row r="431" spans="1:5" ht="12.75" hidden="1">
      <c r="A431" s="20" t="s">
        <v>21</v>
      </c>
      <c r="B431" s="21" t="s">
        <v>12</v>
      </c>
      <c r="C431" s="21">
        <v>12</v>
      </c>
      <c r="D431" s="22">
        <f>SUM(E428:E430)</f>
        <v>0</v>
      </c>
      <c r="E431" s="22">
        <f>D431/C431</f>
        <v>0</v>
      </c>
    </row>
    <row r="432" ht="13.5" hidden="1" thickBot="1">
      <c r="F432" s="27">
        <f>E431</f>
        <v>0</v>
      </c>
    </row>
    <row r="433" ht="11.25" customHeight="1" hidden="1"/>
    <row r="434" spans="1:2" ht="12.75" hidden="1">
      <c r="A434" s="13" t="s">
        <v>108</v>
      </c>
      <c r="B434" s="38"/>
    </row>
    <row r="435" spans="1:6" ht="13.5" hidden="1" thickBot="1">
      <c r="A435" s="82" t="s">
        <v>143</v>
      </c>
      <c r="B435" s="83" t="s">
        <v>144</v>
      </c>
      <c r="C435" s="83" t="s">
        <v>59</v>
      </c>
      <c r="D435" s="84" t="s">
        <v>147</v>
      </c>
      <c r="E435" s="84" t="s">
        <v>145</v>
      </c>
      <c r="F435" s="85" t="s">
        <v>146</v>
      </c>
    </row>
    <row r="436" spans="1:5" ht="12.75" hidden="1">
      <c r="A436" s="17" t="s">
        <v>22</v>
      </c>
      <c r="B436" s="18" t="s">
        <v>23</v>
      </c>
      <c r="C436" s="39">
        <v>2.5</v>
      </c>
      <c r="D436" s="104">
        <f>+D$319</f>
        <v>7.39</v>
      </c>
      <c r="E436" s="19"/>
    </row>
    <row r="437" spans="1:5" ht="12.75" hidden="1">
      <c r="A437" s="20" t="s">
        <v>24</v>
      </c>
      <c r="B437" s="21" t="s">
        <v>25</v>
      </c>
      <c r="C437" s="41">
        <v>0</v>
      </c>
      <c r="D437" s="19">
        <f>+D436/C436</f>
        <v>2.956</v>
      </c>
      <c r="E437" s="22">
        <f>C437*D437</f>
        <v>0</v>
      </c>
    </row>
    <row r="438" spans="1:5" ht="12.75" hidden="1">
      <c r="A438" s="20" t="s">
        <v>26</v>
      </c>
      <c r="B438" s="21" t="s">
        <v>27</v>
      </c>
      <c r="C438" s="40">
        <v>3</v>
      </c>
      <c r="D438" s="22">
        <f>+D$321</f>
        <v>7.78</v>
      </c>
      <c r="E438" s="22"/>
    </row>
    <row r="439" spans="1:5" ht="12.75" hidden="1">
      <c r="A439" s="20" t="s">
        <v>28</v>
      </c>
      <c r="B439" s="21" t="s">
        <v>25</v>
      </c>
      <c r="C439" s="41">
        <f>C437</f>
        <v>0</v>
      </c>
      <c r="D439" s="22">
        <f>+C438*D438</f>
        <v>23.34</v>
      </c>
      <c r="E439" s="22">
        <f>C439*D439/1000</f>
        <v>0</v>
      </c>
    </row>
    <row r="440" spans="1:5" ht="12.75" hidden="1">
      <c r="A440" s="20" t="s">
        <v>29</v>
      </c>
      <c r="B440" s="21" t="s">
        <v>27</v>
      </c>
      <c r="C440" s="40">
        <v>0.5</v>
      </c>
      <c r="D440" s="22">
        <f>+D$323</f>
        <v>9.71</v>
      </c>
      <c r="E440" s="22"/>
    </row>
    <row r="441" spans="1:5" ht="12.75" hidden="1">
      <c r="A441" s="20" t="s">
        <v>30</v>
      </c>
      <c r="B441" s="21" t="s">
        <v>25</v>
      </c>
      <c r="C441" s="41">
        <f>C437</f>
        <v>0</v>
      </c>
      <c r="D441" s="22">
        <f>+C440*D440</f>
        <v>4.855</v>
      </c>
      <c r="E441" s="22">
        <f>C441*D441/1000</f>
        <v>0</v>
      </c>
    </row>
    <row r="442" spans="1:5" ht="12.75" hidden="1">
      <c r="A442" s="20" t="s">
        <v>33</v>
      </c>
      <c r="B442" s="21" t="s">
        <v>27</v>
      </c>
      <c r="C442" s="40">
        <v>3</v>
      </c>
      <c r="D442" s="22">
        <f>+D$325</f>
        <v>6.69</v>
      </c>
      <c r="E442" s="22"/>
    </row>
    <row r="443" spans="1:5" ht="12.75" hidden="1">
      <c r="A443" s="20" t="s">
        <v>31</v>
      </c>
      <c r="B443" s="21" t="s">
        <v>25</v>
      </c>
      <c r="C443" s="41">
        <f>C437</f>
        <v>0</v>
      </c>
      <c r="D443" s="22">
        <f>+C442*D442</f>
        <v>20.07</v>
      </c>
      <c r="E443" s="22">
        <f>C443*D443/1000</f>
        <v>0</v>
      </c>
    </row>
    <row r="444" spans="1:5" ht="12.75" hidden="1">
      <c r="A444" s="20" t="s">
        <v>32</v>
      </c>
      <c r="B444" s="21" t="s">
        <v>34</v>
      </c>
      <c r="C444" s="21">
        <v>1</v>
      </c>
      <c r="D444" s="22">
        <f>+D$327</f>
        <v>7.72</v>
      </c>
      <c r="E444" s="22"/>
    </row>
    <row r="445" spans="1:5" ht="12.75" hidden="1">
      <c r="A445" s="20" t="s">
        <v>35</v>
      </c>
      <c r="B445" s="21" t="s">
        <v>25</v>
      </c>
      <c r="C445" s="41">
        <f>C437</f>
        <v>0</v>
      </c>
      <c r="D445" s="22">
        <f>+C444*D444</f>
        <v>7.72</v>
      </c>
      <c r="E445" s="22">
        <f>C445*D445/1000</f>
        <v>0</v>
      </c>
    </row>
    <row r="446" ht="13.5" hidden="1" thickBot="1">
      <c r="F446" s="27">
        <f>SUM(E436:E445)</f>
        <v>0</v>
      </c>
    </row>
    <row r="447" ht="11.25" customHeight="1" hidden="1"/>
    <row r="448" ht="12.75" hidden="1">
      <c r="A448" s="13" t="s">
        <v>109</v>
      </c>
    </row>
    <row r="449" spans="1:6" ht="13.5" hidden="1" thickBot="1">
      <c r="A449" s="82" t="s">
        <v>143</v>
      </c>
      <c r="B449" s="83" t="s">
        <v>144</v>
      </c>
      <c r="C449" s="83" t="s">
        <v>59</v>
      </c>
      <c r="D449" s="84" t="s">
        <v>147</v>
      </c>
      <c r="E449" s="84" t="s">
        <v>145</v>
      </c>
      <c r="F449" s="85" t="s">
        <v>146</v>
      </c>
    </row>
    <row r="450" spans="1:5" ht="12.75" hidden="1">
      <c r="A450" s="17" t="s">
        <v>15</v>
      </c>
      <c r="B450" s="18" t="s">
        <v>13</v>
      </c>
      <c r="C450" s="18">
        <f>C413</f>
        <v>0</v>
      </c>
      <c r="D450" s="19">
        <f>D413</f>
        <v>118405</v>
      </c>
      <c r="E450" s="19">
        <f>C450*D450</f>
        <v>0</v>
      </c>
    </row>
    <row r="451" spans="1:5" ht="12.75" hidden="1">
      <c r="A451" s="20" t="s">
        <v>16</v>
      </c>
      <c r="B451" s="21" t="s">
        <v>13</v>
      </c>
      <c r="C451" s="21">
        <f>C414</f>
        <v>0</v>
      </c>
      <c r="D451" s="22">
        <f>D414</f>
        <v>53000</v>
      </c>
      <c r="E451" s="22">
        <f>C451*D451</f>
        <v>0</v>
      </c>
    </row>
    <row r="452" spans="1:5" ht="12.75" hidden="1">
      <c r="A452" s="20" t="s">
        <v>91</v>
      </c>
      <c r="B452" s="21" t="s">
        <v>3</v>
      </c>
      <c r="C452" s="112">
        <v>85</v>
      </c>
      <c r="D452" s="22">
        <f>E450+E451</f>
        <v>0</v>
      </c>
      <c r="E452" s="22">
        <f>C452*D452/100</f>
        <v>0</v>
      </c>
    </row>
    <row r="453" spans="1:5" ht="12.75" hidden="1">
      <c r="A453" s="20" t="s">
        <v>53</v>
      </c>
      <c r="B453" s="21" t="s">
        <v>12</v>
      </c>
      <c r="C453" s="21">
        <f>+C$336</f>
        <v>60</v>
      </c>
      <c r="D453" s="22">
        <f>E452</f>
        <v>0</v>
      </c>
      <c r="E453" s="22">
        <f>D453/C453</f>
        <v>0</v>
      </c>
    </row>
    <row r="454" ht="13.5" hidden="1" thickBot="1">
      <c r="F454" s="27">
        <f>E453</f>
        <v>0</v>
      </c>
    </row>
    <row r="455" ht="11.25" customHeight="1" hidden="1"/>
    <row r="456" ht="12.75" hidden="1">
      <c r="A456" s="13" t="s">
        <v>124</v>
      </c>
    </row>
    <row r="457" spans="1:6" ht="13.5" hidden="1" thickBot="1">
      <c r="A457" s="82" t="s">
        <v>143</v>
      </c>
      <c r="B457" s="83" t="s">
        <v>144</v>
      </c>
      <c r="C457" s="83" t="s">
        <v>59</v>
      </c>
      <c r="D457" s="84" t="s">
        <v>147</v>
      </c>
      <c r="E457" s="84" t="s">
        <v>145</v>
      </c>
      <c r="F457" s="85" t="s">
        <v>146</v>
      </c>
    </row>
    <row r="458" spans="1:5" ht="12.75" hidden="1">
      <c r="A458" s="17" t="s">
        <v>48</v>
      </c>
      <c r="B458" s="18" t="s">
        <v>13</v>
      </c>
      <c r="C458" s="18">
        <v>6</v>
      </c>
      <c r="D458" s="19">
        <v>822</v>
      </c>
      <c r="E458" s="19">
        <f>C458*D458</f>
        <v>4932</v>
      </c>
    </row>
    <row r="459" spans="1:5" ht="12.75" hidden="1">
      <c r="A459" s="17" t="s">
        <v>158</v>
      </c>
      <c r="B459" s="18" t="s">
        <v>13</v>
      </c>
      <c r="C459" s="18">
        <f>C458</f>
        <v>6</v>
      </c>
      <c r="D459" s="19">
        <f>+ROUND(D458*0.3,0)</f>
        <v>247</v>
      </c>
      <c r="E459" s="19">
        <f>C459*D459</f>
        <v>1482</v>
      </c>
    </row>
    <row r="460" spans="1:5" ht="12.75" hidden="1">
      <c r="A460" s="20" t="s">
        <v>159</v>
      </c>
      <c r="B460" s="21" t="s">
        <v>36</v>
      </c>
      <c r="C460" s="41">
        <v>70000</v>
      </c>
      <c r="D460" s="22">
        <f>E458+E459</f>
        <v>6414</v>
      </c>
      <c r="E460" s="22">
        <f>D460/C460</f>
        <v>0.09162857142857143</v>
      </c>
    </row>
    <row r="461" spans="1:5" ht="12.75" hidden="1">
      <c r="A461" s="2" t="s">
        <v>123</v>
      </c>
      <c r="B461" s="21" t="s">
        <v>25</v>
      </c>
      <c r="C461" s="41">
        <f>C437</f>
        <v>0</v>
      </c>
      <c r="D461" s="22">
        <f>E460</f>
        <v>0.09162857142857143</v>
      </c>
      <c r="E461" s="22">
        <f>C461*D461</f>
        <v>0</v>
      </c>
    </row>
    <row r="462" ht="13.5" hidden="1" thickBot="1">
      <c r="F462" s="27">
        <f>+E461</f>
        <v>0</v>
      </c>
    </row>
    <row r="463" ht="11.25" customHeight="1" hidden="1" thickBot="1"/>
    <row r="464" spans="1:6" ht="13.5" hidden="1" thickBot="1">
      <c r="A464" s="43" t="s">
        <v>39</v>
      </c>
      <c r="B464" s="225">
        <f>F462+F454+F446+F432+F424+F418</f>
        <v>0</v>
      </c>
      <c r="C464" s="226"/>
      <c r="F464" s="42"/>
    </row>
    <row r="465" ht="11.25" customHeight="1" hidden="1"/>
    <row r="466" ht="12.75" hidden="1">
      <c r="A466" s="13" t="s">
        <v>164</v>
      </c>
    </row>
    <row r="467" ht="11.25" customHeight="1" hidden="1"/>
    <row r="468" ht="12.75" hidden="1">
      <c r="A468" s="13" t="s">
        <v>111</v>
      </c>
    </row>
    <row r="469" spans="1:6" ht="13.5" hidden="1" thickBot="1">
      <c r="A469" s="82" t="s">
        <v>143</v>
      </c>
      <c r="B469" s="83" t="s">
        <v>144</v>
      </c>
      <c r="C469" s="83" t="s">
        <v>59</v>
      </c>
      <c r="D469" s="84" t="s">
        <v>147</v>
      </c>
      <c r="E469" s="84" t="s">
        <v>145</v>
      </c>
      <c r="F469" s="85" t="s">
        <v>146</v>
      </c>
    </row>
    <row r="470" spans="1:5" ht="12.75" hidden="1">
      <c r="A470" s="17" t="s">
        <v>15</v>
      </c>
      <c r="B470" s="18" t="s">
        <v>13</v>
      </c>
      <c r="C470" s="18">
        <v>0</v>
      </c>
      <c r="D470" s="19">
        <v>105384</v>
      </c>
      <c r="E470" s="19">
        <f>C470*D470</f>
        <v>0</v>
      </c>
    </row>
    <row r="471" spans="1:5" ht="12.75" hidden="1">
      <c r="A471" s="20" t="s">
        <v>40</v>
      </c>
      <c r="B471" s="21" t="s">
        <v>13</v>
      </c>
      <c r="C471" s="21">
        <f>C470</f>
        <v>0</v>
      </c>
      <c r="D471" s="22">
        <v>18500</v>
      </c>
      <c r="E471" s="22">
        <f>C471*D471</f>
        <v>0</v>
      </c>
    </row>
    <row r="472" spans="1:5" ht="12.75" hidden="1">
      <c r="A472" s="20" t="s">
        <v>17</v>
      </c>
      <c r="B472" s="21" t="s">
        <v>3</v>
      </c>
      <c r="C472" s="21">
        <f>+C$292</f>
        <v>80</v>
      </c>
      <c r="D472" s="22">
        <f>E470</f>
        <v>0</v>
      </c>
      <c r="E472" s="22">
        <f>C472*D472/100</f>
        <v>0</v>
      </c>
    </row>
    <row r="473" spans="1:5" ht="12.75" hidden="1">
      <c r="A473" s="20" t="s">
        <v>117</v>
      </c>
      <c r="B473" s="21" t="s">
        <v>3</v>
      </c>
      <c r="C473" s="21">
        <v>70</v>
      </c>
      <c r="D473" s="22">
        <f>E471</f>
        <v>0</v>
      </c>
      <c r="E473" s="22">
        <f>C473*D473/100</f>
        <v>0</v>
      </c>
    </row>
    <row r="474" spans="1:5" ht="12.75" hidden="1">
      <c r="A474" s="20" t="s">
        <v>92</v>
      </c>
      <c r="B474" s="21" t="s">
        <v>12</v>
      </c>
      <c r="C474" s="21">
        <f>+C$294</f>
        <v>60</v>
      </c>
      <c r="D474" s="22">
        <f>E472+E473</f>
        <v>0</v>
      </c>
      <c r="E474" s="22">
        <f>D474/C474</f>
        <v>0</v>
      </c>
    </row>
    <row r="475" ht="13.5" hidden="1" thickBot="1">
      <c r="F475" s="27">
        <f>E474</f>
        <v>0</v>
      </c>
    </row>
    <row r="476" ht="11.25" customHeight="1" hidden="1"/>
    <row r="477" ht="12.75" hidden="1">
      <c r="A477" s="13" t="s">
        <v>112</v>
      </c>
    </row>
    <row r="478" spans="1:6" ht="13.5" hidden="1" thickBot="1">
      <c r="A478" s="82" t="s">
        <v>143</v>
      </c>
      <c r="B478" s="83" t="s">
        <v>144</v>
      </c>
      <c r="C478" s="83" t="s">
        <v>59</v>
      </c>
      <c r="D478" s="84" t="s">
        <v>147</v>
      </c>
      <c r="E478" s="84" t="s">
        <v>145</v>
      </c>
      <c r="F478" s="85" t="s">
        <v>146</v>
      </c>
    </row>
    <row r="479" spans="1:6" ht="12.75" hidden="1">
      <c r="A479" s="17" t="s">
        <v>118</v>
      </c>
      <c r="B479" s="18" t="s">
        <v>13</v>
      </c>
      <c r="C479" s="18">
        <v>1</v>
      </c>
      <c r="D479" s="19">
        <f>E470+E471</f>
        <v>0</v>
      </c>
      <c r="E479" s="19">
        <f>C479*D479</f>
        <v>0</v>
      </c>
      <c r="F479" s="24"/>
    </row>
    <row r="480" spans="1:6" ht="12.75" hidden="1">
      <c r="A480" s="20" t="s">
        <v>18</v>
      </c>
      <c r="B480" s="21" t="s">
        <v>3</v>
      </c>
      <c r="C480" s="21">
        <f>+C$302</f>
        <v>0.5</v>
      </c>
      <c r="D480" s="22">
        <f>E479</f>
        <v>0</v>
      </c>
      <c r="E480" s="22">
        <f>C480*D480/100</f>
        <v>0</v>
      </c>
      <c r="F480" s="24"/>
    </row>
    <row r="481" spans="3:6" ht="13.5" hidden="1" thickBot="1">
      <c r="C481" s="23"/>
      <c r="D481" s="24"/>
      <c r="E481" s="24"/>
      <c r="F481" s="27">
        <f>E480</f>
        <v>0</v>
      </c>
    </row>
    <row r="482" ht="11.25" customHeight="1" hidden="1"/>
    <row r="483" ht="12.75" hidden="1">
      <c r="A483" s="13" t="s">
        <v>113</v>
      </c>
    </row>
    <row r="484" spans="1:6" ht="13.5" hidden="1" thickBot="1">
      <c r="A484" s="82" t="s">
        <v>143</v>
      </c>
      <c r="B484" s="83" t="s">
        <v>144</v>
      </c>
      <c r="C484" s="83" t="s">
        <v>59</v>
      </c>
      <c r="D484" s="84" t="s">
        <v>147</v>
      </c>
      <c r="E484" s="84" t="s">
        <v>145</v>
      </c>
      <c r="F484" s="85" t="s">
        <v>146</v>
      </c>
    </row>
    <row r="485" spans="1:5" ht="12.75" hidden="1">
      <c r="A485" s="17" t="s">
        <v>19</v>
      </c>
      <c r="B485" s="18" t="s">
        <v>13</v>
      </c>
      <c r="C485" s="18">
        <f>C470</f>
        <v>0</v>
      </c>
      <c r="D485" s="19">
        <f>0.01*D470</f>
        <v>1053.84</v>
      </c>
      <c r="E485" s="19">
        <f>C485*D485</f>
        <v>0</v>
      </c>
    </row>
    <row r="486" spans="1:5" ht="12.75" hidden="1">
      <c r="A486" s="20" t="s">
        <v>94</v>
      </c>
      <c r="B486" s="21" t="s">
        <v>13</v>
      </c>
      <c r="C486" s="21">
        <f>C470</f>
        <v>0</v>
      </c>
      <c r="D486" s="22">
        <f>+D$310</f>
        <v>110.38</v>
      </c>
      <c r="E486" s="22">
        <f>C486*D486</f>
        <v>0</v>
      </c>
    </row>
    <row r="487" spans="1:6" ht="12.75" hidden="1">
      <c r="A487" s="20" t="s">
        <v>20</v>
      </c>
      <c r="B487" s="21" t="s">
        <v>13</v>
      </c>
      <c r="C487" s="21">
        <f>C470</f>
        <v>0</v>
      </c>
      <c r="D487" s="22">
        <f>+D$311</f>
        <v>1500</v>
      </c>
      <c r="E487" s="22">
        <f>C487*D487</f>
        <v>0</v>
      </c>
      <c r="F487" s="37"/>
    </row>
    <row r="488" spans="1:5" ht="12.75" hidden="1">
      <c r="A488" s="20" t="s">
        <v>21</v>
      </c>
      <c r="B488" s="21" t="s">
        <v>12</v>
      </c>
      <c r="C488" s="21">
        <v>12</v>
      </c>
      <c r="D488" s="22">
        <f>SUM(E485:E487)</f>
        <v>0</v>
      </c>
      <c r="E488" s="22">
        <f>D488/C488</f>
        <v>0</v>
      </c>
    </row>
    <row r="489" ht="13.5" hidden="1" thickBot="1">
      <c r="F489" s="27">
        <f>E488</f>
        <v>0</v>
      </c>
    </row>
    <row r="490" ht="11.25" customHeight="1" hidden="1"/>
    <row r="491" spans="1:2" ht="12.75" hidden="1">
      <c r="A491" s="13" t="s">
        <v>114</v>
      </c>
      <c r="B491" s="38"/>
    </row>
    <row r="492" spans="1:6" ht="13.5" hidden="1" thickBot="1">
      <c r="A492" s="82" t="s">
        <v>143</v>
      </c>
      <c r="B492" s="83" t="s">
        <v>144</v>
      </c>
      <c r="C492" s="83" t="s">
        <v>59</v>
      </c>
      <c r="D492" s="84" t="s">
        <v>147</v>
      </c>
      <c r="E492" s="84" t="s">
        <v>145</v>
      </c>
      <c r="F492" s="85" t="s">
        <v>146</v>
      </c>
    </row>
    <row r="493" spans="1:5" ht="12.75" hidden="1">
      <c r="A493" s="17" t="s">
        <v>22</v>
      </c>
      <c r="B493" s="18" t="s">
        <v>23</v>
      </c>
      <c r="C493" s="39">
        <v>4.5</v>
      </c>
      <c r="D493" s="104">
        <f>+D$319</f>
        <v>7.39</v>
      </c>
      <c r="E493" s="19"/>
    </row>
    <row r="494" spans="1:5" ht="12.75" hidden="1">
      <c r="A494" s="20" t="s">
        <v>24</v>
      </c>
      <c r="B494" s="21" t="s">
        <v>25</v>
      </c>
      <c r="C494" s="41">
        <v>0</v>
      </c>
      <c r="D494" s="19">
        <f>+D493/C493</f>
        <v>1.6422222222222222</v>
      </c>
      <c r="E494" s="22">
        <f>C494*D494</f>
        <v>0</v>
      </c>
    </row>
    <row r="495" spans="1:5" ht="12.75" hidden="1">
      <c r="A495" s="20" t="s">
        <v>26</v>
      </c>
      <c r="B495" s="21" t="s">
        <v>27</v>
      </c>
      <c r="C495" s="40">
        <v>2</v>
      </c>
      <c r="D495" s="22">
        <f>+D$321</f>
        <v>7.78</v>
      </c>
      <c r="E495" s="22"/>
    </row>
    <row r="496" spans="1:5" ht="12.75" hidden="1">
      <c r="A496" s="20" t="s">
        <v>28</v>
      </c>
      <c r="B496" s="21" t="s">
        <v>25</v>
      </c>
      <c r="C496" s="41">
        <f>C494</f>
        <v>0</v>
      </c>
      <c r="D496" s="22">
        <f>+C495*D495</f>
        <v>15.56</v>
      </c>
      <c r="E496" s="22">
        <f>C496*D496/1000</f>
        <v>0</v>
      </c>
    </row>
    <row r="497" spans="1:5" ht="12.75" hidden="1">
      <c r="A497" s="20" t="s">
        <v>29</v>
      </c>
      <c r="B497" s="21" t="s">
        <v>27</v>
      </c>
      <c r="C497" s="40">
        <v>0.5</v>
      </c>
      <c r="D497" s="22">
        <f>+D$323</f>
        <v>9.71</v>
      </c>
      <c r="E497" s="22"/>
    </row>
    <row r="498" spans="1:5" ht="12.75" hidden="1">
      <c r="A498" s="20" t="s">
        <v>30</v>
      </c>
      <c r="B498" s="21" t="s">
        <v>25</v>
      </c>
      <c r="C498" s="41">
        <f>C494</f>
        <v>0</v>
      </c>
      <c r="D498" s="22">
        <f>+C497*D497</f>
        <v>4.855</v>
      </c>
      <c r="E498" s="22">
        <f>C498*D498/1000</f>
        <v>0</v>
      </c>
    </row>
    <row r="499" spans="1:5" ht="12.75" hidden="1">
      <c r="A499" s="20" t="s">
        <v>33</v>
      </c>
      <c r="B499" s="21" t="s">
        <v>27</v>
      </c>
      <c r="C499" s="40">
        <v>1</v>
      </c>
      <c r="D499" s="22">
        <f>+D$325</f>
        <v>6.69</v>
      </c>
      <c r="E499" s="22"/>
    </row>
    <row r="500" spans="1:5" ht="12.75" hidden="1">
      <c r="A500" s="20" t="s">
        <v>31</v>
      </c>
      <c r="B500" s="21" t="s">
        <v>25</v>
      </c>
      <c r="C500" s="41">
        <f>C494</f>
        <v>0</v>
      </c>
      <c r="D500" s="22">
        <f>+C499*D499</f>
        <v>6.69</v>
      </c>
      <c r="E500" s="22">
        <f>C500*D500/1000</f>
        <v>0</v>
      </c>
    </row>
    <row r="501" spans="1:5" ht="12.75" hidden="1">
      <c r="A501" s="20" t="s">
        <v>32</v>
      </c>
      <c r="B501" s="21" t="s">
        <v>34</v>
      </c>
      <c r="C501" s="44">
        <v>1</v>
      </c>
      <c r="D501" s="22">
        <f>+D$327</f>
        <v>7.72</v>
      </c>
      <c r="E501" s="22"/>
    </row>
    <row r="502" spans="1:5" ht="12.75" hidden="1">
      <c r="A502" s="20" t="s">
        <v>35</v>
      </c>
      <c r="B502" s="21" t="s">
        <v>25</v>
      </c>
      <c r="C502" s="41">
        <f>C494</f>
        <v>0</v>
      </c>
      <c r="D502" s="22">
        <f>+C501*D501</f>
        <v>7.72</v>
      </c>
      <c r="E502" s="22">
        <f>C502*D502/1000</f>
        <v>0</v>
      </c>
    </row>
    <row r="503" ht="13.5" hidden="1" thickBot="1">
      <c r="F503" s="27">
        <f>SUM(E493:E502)</f>
        <v>0</v>
      </c>
    </row>
    <row r="504" ht="11.25" customHeight="1" hidden="1"/>
    <row r="505" ht="12.75" hidden="1">
      <c r="A505" s="13" t="s">
        <v>115</v>
      </c>
    </row>
    <row r="506" spans="1:6" ht="13.5" hidden="1" thickBot="1">
      <c r="A506" s="82" t="s">
        <v>143</v>
      </c>
      <c r="B506" s="83" t="s">
        <v>144</v>
      </c>
      <c r="C506" s="83" t="s">
        <v>59</v>
      </c>
      <c r="D506" s="84" t="s">
        <v>147</v>
      </c>
      <c r="E506" s="84" t="s">
        <v>145</v>
      </c>
      <c r="F506" s="85" t="s">
        <v>146</v>
      </c>
    </row>
    <row r="507" spans="1:5" ht="12.75" hidden="1">
      <c r="A507" s="17" t="s">
        <v>15</v>
      </c>
      <c r="B507" s="18" t="s">
        <v>13</v>
      </c>
      <c r="C507" s="18">
        <f>C470</f>
        <v>0</v>
      </c>
      <c r="D507" s="19">
        <f>D470</f>
        <v>105384</v>
      </c>
      <c r="E507" s="19">
        <f>C507*D507</f>
        <v>0</v>
      </c>
    </row>
    <row r="508" spans="1:5" ht="12.75" hidden="1">
      <c r="A508" s="20" t="s">
        <v>40</v>
      </c>
      <c r="B508" s="21" t="s">
        <v>13</v>
      </c>
      <c r="C508" s="21">
        <f>C471</f>
        <v>0</v>
      </c>
      <c r="D508" s="22">
        <f>D471</f>
        <v>18500</v>
      </c>
      <c r="E508" s="22">
        <f>C508*D508</f>
        <v>0</v>
      </c>
    </row>
    <row r="509" spans="1:5" ht="12.75" hidden="1">
      <c r="A509" s="20" t="s">
        <v>91</v>
      </c>
      <c r="B509" s="21" t="s">
        <v>3</v>
      </c>
      <c r="C509" s="112">
        <v>85</v>
      </c>
      <c r="D509" s="22">
        <f>E507+E508</f>
        <v>0</v>
      </c>
      <c r="E509" s="22">
        <f>C509*D509/100</f>
        <v>0</v>
      </c>
    </row>
    <row r="510" spans="1:5" ht="12.75" hidden="1">
      <c r="A510" s="20" t="s">
        <v>53</v>
      </c>
      <c r="B510" s="21" t="s">
        <v>12</v>
      </c>
      <c r="C510" s="21">
        <f>+C$336</f>
        <v>60</v>
      </c>
      <c r="D510" s="22">
        <f>E509</f>
        <v>0</v>
      </c>
      <c r="E510" s="22">
        <f>D510/C510</f>
        <v>0</v>
      </c>
    </row>
    <row r="511" ht="13.5" hidden="1" thickBot="1">
      <c r="F511" s="27">
        <f>E510</f>
        <v>0</v>
      </c>
    </row>
    <row r="512" ht="11.25" customHeight="1" hidden="1"/>
    <row r="513" ht="12.75" hidden="1">
      <c r="A513" s="13" t="s">
        <v>137</v>
      </c>
    </row>
    <row r="514" spans="1:6" ht="13.5" hidden="1" thickBot="1">
      <c r="A514" s="82" t="s">
        <v>143</v>
      </c>
      <c r="B514" s="83" t="s">
        <v>144</v>
      </c>
      <c r="C514" s="83" t="s">
        <v>59</v>
      </c>
      <c r="D514" s="84" t="s">
        <v>147</v>
      </c>
      <c r="E514" s="84" t="s">
        <v>145</v>
      </c>
      <c r="F514" s="85" t="s">
        <v>146</v>
      </c>
    </row>
    <row r="515" spans="1:5" ht="12.75" hidden="1">
      <c r="A515" s="2" t="s">
        <v>48</v>
      </c>
      <c r="B515" s="18" t="s">
        <v>13</v>
      </c>
      <c r="C515" s="18">
        <v>6</v>
      </c>
      <c r="D515" s="19">
        <f>+D458</f>
        <v>822</v>
      </c>
      <c r="E515" s="19">
        <f>C515*D515</f>
        <v>4932</v>
      </c>
    </row>
    <row r="516" spans="1:5" ht="12.75" hidden="1">
      <c r="A516" s="17" t="s">
        <v>158</v>
      </c>
      <c r="B516" s="18" t="s">
        <v>13</v>
      </c>
      <c r="C516" s="18">
        <f>C515</f>
        <v>6</v>
      </c>
      <c r="D516" s="19">
        <f>D459</f>
        <v>247</v>
      </c>
      <c r="E516" s="19">
        <f>C516*D516</f>
        <v>1482</v>
      </c>
    </row>
    <row r="517" spans="1:5" ht="12.75" hidden="1">
      <c r="A517" s="20" t="s">
        <v>159</v>
      </c>
      <c r="B517" s="21" t="s">
        <v>36</v>
      </c>
      <c r="C517" s="41">
        <v>70000</v>
      </c>
      <c r="D517" s="22">
        <f>E515+E516</f>
        <v>6414</v>
      </c>
      <c r="E517" s="22">
        <f>D517/C517</f>
        <v>0.09162857142857143</v>
      </c>
    </row>
    <row r="518" spans="1:5" ht="12.75" hidden="1">
      <c r="A518" s="20" t="s">
        <v>122</v>
      </c>
      <c r="B518" s="21" t="s">
        <v>25</v>
      </c>
      <c r="C518" s="41">
        <f>C494</f>
        <v>0</v>
      </c>
      <c r="D518" s="22">
        <f>E517</f>
        <v>0.09162857142857143</v>
      </c>
      <c r="E518" s="22">
        <f>C518*D518</f>
        <v>0</v>
      </c>
    </row>
    <row r="519" ht="13.5" hidden="1" thickBot="1">
      <c r="F519" s="27">
        <f>+E518</f>
        <v>0</v>
      </c>
    </row>
    <row r="520" ht="11.25" customHeight="1" hidden="1" thickBot="1"/>
    <row r="521" spans="1:6" ht="13.5" hidden="1" thickBot="1">
      <c r="A521" s="43" t="s">
        <v>116</v>
      </c>
      <c r="B521" s="225">
        <f>F519+F511+F503+F489+F481+F475</f>
        <v>0</v>
      </c>
      <c r="C521" s="226"/>
      <c r="F521" s="42"/>
    </row>
    <row r="522" ht="11.25" customHeight="1" hidden="1"/>
    <row r="523" ht="12.75" hidden="1">
      <c r="A523" s="13" t="s">
        <v>198</v>
      </c>
    </row>
    <row r="524" ht="11.25" customHeight="1" hidden="1"/>
    <row r="525" ht="12.75" hidden="1">
      <c r="A525" s="13" t="s">
        <v>199</v>
      </c>
    </row>
    <row r="526" spans="1:6" ht="13.5" hidden="1" thickBot="1">
      <c r="A526" s="82" t="s">
        <v>143</v>
      </c>
      <c r="B526" s="83" t="s">
        <v>144</v>
      </c>
      <c r="C526" s="83" t="s">
        <v>59</v>
      </c>
      <c r="D526" s="84" t="s">
        <v>147</v>
      </c>
      <c r="E526" s="84" t="s">
        <v>145</v>
      </c>
      <c r="F526" s="85" t="s">
        <v>146</v>
      </c>
    </row>
    <row r="527" spans="1:5" ht="12.75" hidden="1">
      <c r="A527" s="17" t="s">
        <v>15</v>
      </c>
      <c r="B527" s="18" t="s">
        <v>13</v>
      </c>
      <c r="C527" s="18">
        <v>0</v>
      </c>
      <c r="D527" s="19">
        <v>191225</v>
      </c>
      <c r="E527" s="19">
        <f>C527*D527</f>
        <v>0</v>
      </c>
    </row>
    <row r="528" spans="1:5" ht="12.75" hidden="1">
      <c r="A528" s="20" t="s">
        <v>16</v>
      </c>
      <c r="B528" s="21" t="s">
        <v>13</v>
      </c>
      <c r="C528" s="21">
        <f>C527</f>
        <v>0</v>
      </c>
      <c r="D528" s="22">
        <f>+D291</f>
        <v>100000</v>
      </c>
      <c r="E528" s="22">
        <f>C528*D528</f>
        <v>0</v>
      </c>
    </row>
    <row r="529" spans="1:5" ht="12.75" hidden="1">
      <c r="A529" s="125" t="s">
        <v>226</v>
      </c>
      <c r="B529" s="21" t="s">
        <v>13</v>
      </c>
      <c r="C529" s="21">
        <v>0</v>
      </c>
      <c r="D529" s="22">
        <v>5850</v>
      </c>
      <c r="E529" s="22">
        <f>C529*D529</f>
        <v>0</v>
      </c>
    </row>
    <row r="530" spans="1:5" ht="12.75" hidden="1">
      <c r="A530" s="20" t="s">
        <v>17</v>
      </c>
      <c r="B530" s="21" t="s">
        <v>3</v>
      </c>
      <c r="C530" s="21">
        <v>80</v>
      </c>
      <c r="D530" s="22">
        <f>E527</f>
        <v>0</v>
      </c>
      <c r="E530" s="22">
        <f>C530*D530/100</f>
        <v>0</v>
      </c>
    </row>
    <row r="531" spans="1:5" ht="12.75" hidden="1">
      <c r="A531" s="20" t="s">
        <v>134</v>
      </c>
      <c r="B531" s="21" t="s">
        <v>3</v>
      </c>
      <c r="C531" s="21">
        <v>90</v>
      </c>
      <c r="D531" s="22">
        <f>E528+E529</f>
        <v>0</v>
      </c>
      <c r="E531" s="22">
        <f>C531*D531/100</f>
        <v>0</v>
      </c>
    </row>
    <row r="532" spans="1:5" ht="12.75" hidden="1">
      <c r="A532" s="20" t="s">
        <v>92</v>
      </c>
      <c r="B532" s="21" t="s">
        <v>12</v>
      </c>
      <c r="C532" s="21">
        <v>60</v>
      </c>
      <c r="D532" s="22">
        <f>E530+E531</f>
        <v>0</v>
      </c>
      <c r="E532" s="22">
        <f>D532/C532</f>
        <v>0</v>
      </c>
    </row>
    <row r="533" ht="13.5" hidden="1" thickBot="1">
      <c r="F533" s="27">
        <f>E532</f>
        <v>0</v>
      </c>
    </row>
    <row r="534" ht="11.25" customHeight="1" hidden="1"/>
    <row r="535" ht="12.75" hidden="1">
      <c r="A535" s="13" t="s">
        <v>200</v>
      </c>
    </row>
    <row r="536" spans="1:6" ht="13.5" hidden="1" thickBot="1">
      <c r="A536" s="82" t="s">
        <v>143</v>
      </c>
      <c r="B536" s="83" t="s">
        <v>144</v>
      </c>
      <c r="C536" s="83" t="s">
        <v>59</v>
      </c>
      <c r="D536" s="84" t="s">
        <v>147</v>
      </c>
      <c r="E536" s="84" t="s">
        <v>145</v>
      </c>
      <c r="F536" s="85" t="s">
        <v>146</v>
      </c>
    </row>
    <row r="537" spans="1:6" ht="12.75" hidden="1">
      <c r="A537" s="17" t="s">
        <v>93</v>
      </c>
      <c r="B537" s="18" t="s">
        <v>13</v>
      </c>
      <c r="C537" s="18">
        <v>1</v>
      </c>
      <c r="D537" s="19">
        <f>E527+E528+E529</f>
        <v>0</v>
      </c>
      <c r="E537" s="19">
        <f>C537*D537</f>
        <v>0</v>
      </c>
      <c r="F537" s="24"/>
    </row>
    <row r="538" spans="1:6" ht="12.75" hidden="1">
      <c r="A538" s="20" t="s">
        <v>18</v>
      </c>
      <c r="B538" s="21" t="s">
        <v>3</v>
      </c>
      <c r="C538" s="21">
        <f>+C480</f>
        <v>0.5</v>
      </c>
      <c r="D538" s="22">
        <f>E537</f>
        <v>0</v>
      </c>
      <c r="E538" s="22">
        <f>C538*D538/100</f>
        <v>0</v>
      </c>
      <c r="F538" s="24"/>
    </row>
    <row r="539" spans="3:6" ht="13.5" hidden="1" thickBot="1">
      <c r="C539" s="23"/>
      <c r="D539" s="24"/>
      <c r="E539" s="24"/>
      <c r="F539" s="27">
        <f>E538</f>
        <v>0</v>
      </c>
    </row>
    <row r="540" ht="11.25" customHeight="1" hidden="1"/>
    <row r="541" ht="12.75" hidden="1">
      <c r="A541" s="13" t="s">
        <v>201</v>
      </c>
    </row>
    <row r="542" spans="1:6" ht="13.5" hidden="1" thickBot="1">
      <c r="A542" s="82" t="s">
        <v>143</v>
      </c>
      <c r="B542" s="83" t="s">
        <v>144</v>
      </c>
      <c r="C542" s="83" t="s">
        <v>59</v>
      </c>
      <c r="D542" s="84" t="s">
        <v>147</v>
      </c>
      <c r="E542" s="84" t="s">
        <v>145</v>
      </c>
      <c r="F542" s="85" t="s">
        <v>146</v>
      </c>
    </row>
    <row r="543" spans="1:5" ht="12.75" hidden="1">
      <c r="A543" s="17" t="s">
        <v>19</v>
      </c>
      <c r="B543" s="18" t="s">
        <v>13</v>
      </c>
      <c r="C543" s="18">
        <f>C527</f>
        <v>0</v>
      </c>
      <c r="D543" s="19">
        <f>0.01*D527</f>
        <v>1912.25</v>
      </c>
      <c r="E543" s="19">
        <f>C543*D543</f>
        <v>0</v>
      </c>
    </row>
    <row r="544" spans="1:5" ht="12.75" hidden="1">
      <c r="A544" s="20" t="s">
        <v>94</v>
      </c>
      <c r="B544" s="21" t="s">
        <v>13</v>
      </c>
      <c r="C544" s="21">
        <f>C527</f>
        <v>0</v>
      </c>
      <c r="D544" s="22">
        <f>+D310</f>
        <v>110.38</v>
      </c>
      <c r="E544" s="22">
        <f>C544*D544</f>
        <v>0</v>
      </c>
    </row>
    <row r="545" spans="1:6" ht="12.75" hidden="1">
      <c r="A545" s="20" t="s">
        <v>20</v>
      </c>
      <c r="B545" s="21" t="s">
        <v>13</v>
      </c>
      <c r="C545" s="21">
        <f>C527</f>
        <v>0</v>
      </c>
      <c r="D545" s="22">
        <f>+D311</f>
        <v>1500</v>
      </c>
      <c r="E545" s="22">
        <f>C545*D545</f>
        <v>0</v>
      </c>
      <c r="F545" s="37"/>
    </row>
    <row r="546" spans="1:5" ht="12.75" hidden="1">
      <c r="A546" s="20" t="s">
        <v>21</v>
      </c>
      <c r="B546" s="21" t="s">
        <v>12</v>
      </c>
      <c r="C546" s="21">
        <v>12</v>
      </c>
      <c r="D546" s="22">
        <f>SUM(E543:E545)</f>
        <v>0</v>
      </c>
      <c r="E546" s="22">
        <f>D546/C546</f>
        <v>0</v>
      </c>
    </row>
    <row r="547" ht="13.5" hidden="1" thickBot="1">
      <c r="F547" s="27">
        <f>E546</f>
        <v>0</v>
      </c>
    </row>
    <row r="548" ht="11.25" customHeight="1" hidden="1"/>
    <row r="549" spans="1:2" ht="12.75" hidden="1">
      <c r="A549" s="13" t="s">
        <v>202</v>
      </c>
      <c r="B549" s="38"/>
    </row>
    <row r="550" spans="1:6" ht="13.5" hidden="1" thickBot="1">
      <c r="A550" s="82" t="s">
        <v>143</v>
      </c>
      <c r="B550" s="83" t="s">
        <v>144</v>
      </c>
      <c r="C550" s="83" t="s">
        <v>59</v>
      </c>
      <c r="D550" s="84" t="s">
        <v>147</v>
      </c>
      <c r="E550" s="84" t="s">
        <v>145</v>
      </c>
      <c r="F550" s="85" t="s">
        <v>146</v>
      </c>
    </row>
    <row r="551" spans="1:5" ht="12.75" hidden="1">
      <c r="A551" s="17" t="s">
        <v>22</v>
      </c>
      <c r="B551" s="18" t="s">
        <v>23</v>
      </c>
      <c r="C551" s="39">
        <v>1.7</v>
      </c>
      <c r="D551" s="104">
        <f>+D319</f>
        <v>7.39</v>
      </c>
      <c r="E551" s="19"/>
    </row>
    <row r="552" spans="1:5" ht="12.75" hidden="1">
      <c r="A552" s="20" t="s">
        <v>24</v>
      </c>
      <c r="B552" s="21" t="s">
        <v>25</v>
      </c>
      <c r="C552" s="41">
        <v>0</v>
      </c>
      <c r="D552" s="19">
        <f>+D551/C551</f>
        <v>4.347058823529411</v>
      </c>
      <c r="E552" s="22">
        <f>C552*D552</f>
        <v>0</v>
      </c>
    </row>
    <row r="553" spans="1:5" ht="12.75" hidden="1">
      <c r="A553" s="20" t="s">
        <v>26</v>
      </c>
      <c r="B553" s="21" t="s">
        <v>27</v>
      </c>
      <c r="C553" s="40">
        <v>6</v>
      </c>
      <c r="D553" s="22">
        <f>+D321</f>
        <v>7.78</v>
      </c>
      <c r="E553" s="22"/>
    </row>
    <row r="554" spans="1:5" ht="12.75" hidden="1">
      <c r="A554" s="20" t="s">
        <v>28</v>
      </c>
      <c r="B554" s="21" t="s">
        <v>25</v>
      </c>
      <c r="C554" s="41">
        <f>C552</f>
        <v>0</v>
      </c>
      <c r="D554" s="22">
        <f>+C553*D553</f>
        <v>46.68</v>
      </c>
      <c r="E554" s="22">
        <f>C554*D554/1000</f>
        <v>0</v>
      </c>
    </row>
    <row r="555" spans="1:5" ht="12.75" hidden="1">
      <c r="A555" s="20" t="s">
        <v>29</v>
      </c>
      <c r="B555" s="21" t="s">
        <v>27</v>
      </c>
      <c r="C555" s="40">
        <v>0.85</v>
      </c>
      <c r="D555" s="22">
        <f>+D323</f>
        <v>9.71</v>
      </c>
      <c r="E555" s="22"/>
    </row>
    <row r="556" spans="1:5" ht="12.75" hidden="1">
      <c r="A556" s="20" t="s">
        <v>30</v>
      </c>
      <c r="B556" s="21" t="s">
        <v>25</v>
      </c>
      <c r="C556" s="41">
        <f>C552</f>
        <v>0</v>
      </c>
      <c r="D556" s="22">
        <f>+C555*D555</f>
        <v>8.2535</v>
      </c>
      <c r="E556" s="22">
        <f>C556*D556/1000</f>
        <v>0</v>
      </c>
    </row>
    <row r="557" spans="1:5" ht="12.75" hidden="1">
      <c r="A557" s="20" t="s">
        <v>33</v>
      </c>
      <c r="B557" s="21" t="s">
        <v>27</v>
      </c>
      <c r="C557" s="40">
        <v>5</v>
      </c>
      <c r="D557" s="22">
        <f>+D325</f>
        <v>6.69</v>
      </c>
      <c r="E557" s="22"/>
    </row>
    <row r="558" spans="1:5" ht="12.75" hidden="1">
      <c r="A558" s="20" t="s">
        <v>31</v>
      </c>
      <c r="B558" s="21" t="s">
        <v>25</v>
      </c>
      <c r="C558" s="41">
        <f>C552</f>
        <v>0</v>
      </c>
      <c r="D558" s="22">
        <f>+C557*D557</f>
        <v>33.45</v>
      </c>
      <c r="E558" s="22">
        <f>C558*D558/1000</f>
        <v>0</v>
      </c>
    </row>
    <row r="559" spans="1:5" ht="12.75" hidden="1">
      <c r="A559" s="20" t="s">
        <v>32</v>
      </c>
      <c r="B559" s="21" t="s">
        <v>34</v>
      </c>
      <c r="C559" s="21">
        <v>2</v>
      </c>
      <c r="D559" s="22">
        <f>+D327</f>
        <v>7.72</v>
      </c>
      <c r="E559" s="22"/>
    </row>
    <row r="560" spans="1:5" ht="12.75" hidden="1">
      <c r="A560" s="20" t="s">
        <v>35</v>
      </c>
      <c r="B560" s="21" t="s">
        <v>25</v>
      </c>
      <c r="C560" s="41">
        <f>C552</f>
        <v>0</v>
      </c>
      <c r="D560" s="22">
        <f>+C559*D559</f>
        <v>15.44</v>
      </c>
      <c r="E560" s="22">
        <f>C560*D560/1000</f>
        <v>0</v>
      </c>
    </row>
    <row r="561" ht="13.5" hidden="1" thickBot="1">
      <c r="F561" s="27">
        <f>SUM(E551:E560)</f>
        <v>0</v>
      </c>
    </row>
    <row r="562" ht="11.25" customHeight="1" hidden="1"/>
    <row r="563" ht="12.75" hidden="1">
      <c r="A563" s="13" t="s">
        <v>203</v>
      </c>
    </row>
    <row r="564" spans="1:6" ht="13.5" hidden="1" thickBot="1">
      <c r="A564" s="82" t="s">
        <v>143</v>
      </c>
      <c r="B564" s="83" t="s">
        <v>144</v>
      </c>
      <c r="C564" s="83" t="s">
        <v>59</v>
      </c>
      <c r="D564" s="84" t="s">
        <v>147</v>
      </c>
      <c r="E564" s="84" t="s">
        <v>145</v>
      </c>
      <c r="F564" s="85" t="s">
        <v>146</v>
      </c>
    </row>
    <row r="565" spans="1:5" ht="12.75" hidden="1">
      <c r="A565" s="17" t="s">
        <v>15</v>
      </c>
      <c r="B565" s="18" t="s">
        <v>13</v>
      </c>
      <c r="C565" s="18">
        <f>C527</f>
        <v>0</v>
      </c>
      <c r="D565" s="19">
        <f>D527</f>
        <v>191225</v>
      </c>
      <c r="E565" s="19">
        <f>C565*D565</f>
        <v>0</v>
      </c>
    </row>
    <row r="566" spans="1:5" ht="12.75" hidden="1">
      <c r="A566" s="20" t="s">
        <v>16</v>
      </c>
      <c r="B566" s="21" t="s">
        <v>13</v>
      </c>
      <c r="C566" s="21">
        <f>C528</f>
        <v>0</v>
      </c>
      <c r="D566" s="22">
        <f>D528</f>
        <v>100000</v>
      </c>
      <c r="E566" s="22">
        <f>C566*D566</f>
        <v>0</v>
      </c>
    </row>
    <row r="567" spans="1:5" ht="12.75" hidden="1">
      <c r="A567" s="20" t="s">
        <v>227</v>
      </c>
      <c r="B567" s="21" t="s">
        <v>13</v>
      </c>
      <c r="C567" s="21">
        <v>0</v>
      </c>
      <c r="D567" s="22">
        <f>D529</f>
        <v>5850</v>
      </c>
      <c r="E567" s="22">
        <f>C567*D567</f>
        <v>0</v>
      </c>
    </row>
    <row r="568" spans="1:5" ht="12.75" hidden="1">
      <c r="A568" s="20" t="s">
        <v>91</v>
      </c>
      <c r="B568" s="21" t="s">
        <v>3</v>
      </c>
      <c r="C568" s="21">
        <v>85</v>
      </c>
      <c r="D568" s="22">
        <f>E565+E566+E567</f>
        <v>0</v>
      </c>
      <c r="E568" s="22">
        <f>C568*D568/100</f>
        <v>0</v>
      </c>
    </row>
    <row r="569" spans="1:5" ht="12.75" hidden="1">
      <c r="A569" s="20" t="s">
        <v>53</v>
      </c>
      <c r="B569" s="21" t="s">
        <v>12</v>
      </c>
      <c r="C569" s="21">
        <v>60</v>
      </c>
      <c r="D569" s="22">
        <f>E568</f>
        <v>0</v>
      </c>
      <c r="E569" s="22">
        <f>D569/C569</f>
        <v>0</v>
      </c>
    </row>
    <row r="570" ht="13.5" hidden="1" thickBot="1">
      <c r="F570" s="27">
        <f>E569</f>
        <v>0</v>
      </c>
    </row>
    <row r="571" ht="11.25" customHeight="1" hidden="1"/>
    <row r="572" ht="12.75" hidden="1">
      <c r="A572" s="13" t="s">
        <v>204</v>
      </c>
    </row>
    <row r="573" spans="1:6" ht="13.5" hidden="1" thickBot="1">
      <c r="A573" s="82" t="s">
        <v>143</v>
      </c>
      <c r="B573" s="83" t="s">
        <v>144</v>
      </c>
      <c r="C573" s="83" t="s">
        <v>59</v>
      </c>
      <c r="D573" s="84" t="s">
        <v>147</v>
      </c>
      <c r="E573" s="84" t="s">
        <v>145</v>
      </c>
      <c r="F573" s="85" t="s">
        <v>146</v>
      </c>
    </row>
    <row r="574" spans="1:5" ht="12.75" hidden="1">
      <c r="A574" s="17" t="s">
        <v>47</v>
      </c>
      <c r="B574" s="18" t="s">
        <v>13</v>
      </c>
      <c r="C574" s="18">
        <v>6</v>
      </c>
      <c r="D574" s="19">
        <f>+D343</f>
        <v>2400</v>
      </c>
      <c r="E574" s="19">
        <f>C574*D574</f>
        <v>14400</v>
      </c>
    </row>
    <row r="575" spans="1:5" ht="12.75" hidden="1">
      <c r="A575" s="17" t="s">
        <v>158</v>
      </c>
      <c r="B575" s="18" t="s">
        <v>13</v>
      </c>
      <c r="C575" s="18">
        <f>C574</f>
        <v>6</v>
      </c>
      <c r="D575" s="19">
        <f>+D344</f>
        <v>720</v>
      </c>
      <c r="E575" s="19">
        <f>C575*D575</f>
        <v>4320</v>
      </c>
    </row>
    <row r="576" spans="1:5" ht="12.75" hidden="1">
      <c r="A576" s="20" t="s">
        <v>159</v>
      </c>
      <c r="B576" s="21" t="s">
        <v>36</v>
      </c>
      <c r="C576" s="41">
        <v>70000</v>
      </c>
      <c r="D576" s="22">
        <f>E574+E575</f>
        <v>18720</v>
      </c>
      <c r="E576" s="22">
        <f>D576/C576</f>
        <v>0.2674285714285714</v>
      </c>
    </row>
    <row r="577" spans="1:5" ht="12.75" hidden="1">
      <c r="A577" s="20" t="s">
        <v>122</v>
      </c>
      <c r="B577" s="21" t="s">
        <v>25</v>
      </c>
      <c r="C577" s="41">
        <f>C552</f>
        <v>0</v>
      </c>
      <c r="D577" s="22">
        <f>E576</f>
        <v>0.2674285714285714</v>
      </c>
      <c r="E577" s="22">
        <f>C577*D577</f>
        <v>0</v>
      </c>
    </row>
    <row r="578" ht="13.5" hidden="1" thickBot="1">
      <c r="F578" s="27">
        <f>E577</f>
        <v>0</v>
      </c>
    </row>
    <row r="579" ht="11.25" customHeight="1" hidden="1" thickBot="1"/>
    <row r="580" spans="1:6" ht="13.5" hidden="1" thickBot="1">
      <c r="A580" s="43" t="s">
        <v>206</v>
      </c>
      <c r="B580" s="225">
        <f>F578+F570+F561+F547+F539+F533</f>
        <v>0</v>
      </c>
      <c r="C580" s="226"/>
      <c r="F580" s="42"/>
    </row>
    <row r="581" ht="11.25" customHeight="1" hidden="1"/>
    <row r="582" spans="1:2" ht="12.75" hidden="1">
      <c r="A582" s="13" t="s">
        <v>205</v>
      </c>
      <c r="B582" s="13" t="s">
        <v>140</v>
      </c>
    </row>
    <row r="583" ht="11.25" customHeight="1" hidden="1" thickBot="1"/>
    <row r="584" spans="1:6" ht="13.5" hidden="1" thickBot="1">
      <c r="A584" s="82" t="s">
        <v>143</v>
      </c>
      <c r="B584" s="83" t="s">
        <v>144</v>
      </c>
      <c r="C584" s="83" t="s">
        <v>59</v>
      </c>
      <c r="D584" s="84" t="s">
        <v>147</v>
      </c>
      <c r="E584" s="84" t="s">
        <v>145</v>
      </c>
      <c r="F584" s="85" t="s">
        <v>146</v>
      </c>
    </row>
    <row r="585" spans="1:5" ht="12.75" hidden="1">
      <c r="A585" s="2" t="s">
        <v>233</v>
      </c>
      <c r="B585" s="18" t="s">
        <v>12</v>
      </c>
      <c r="C585" s="18">
        <v>0</v>
      </c>
      <c r="D585" s="19">
        <v>1197.72</v>
      </c>
      <c r="E585" s="19">
        <f>C585*D585</f>
        <v>0</v>
      </c>
    </row>
    <row r="586" spans="1:5" ht="12.75" hidden="1">
      <c r="A586" s="20" t="s">
        <v>234</v>
      </c>
      <c r="B586" s="21" t="s">
        <v>12</v>
      </c>
      <c r="C586" s="41">
        <v>0</v>
      </c>
      <c r="D586" s="22">
        <v>1313.07</v>
      </c>
      <c r="E586" s="19">
        <f>C586*D586</f>
        <v>0</v>
      </c>
    </row>
    <row r="587" spans="1:5" ht="12.75" hidden="1">
      <c r="A587" s="20" t="s">
        <v>121</v>
      </c>
      <c r="B587" s="21" t="s">
        <v>90</v>
      </c>
      <c r="C587" s="41">
        <v>0</v>
      </c>
      <c r="D587" s="134">
        <v>2.741</v>
      </c>
      <c r="E587" s="19">
        <f>C587*D587</f>
        <v>0</v>
      </c>
    </row>
    <row r="588" spans="1:5" ht="12.75" hidden="1">
      <c r="A588" s="20" t="s">
        <v>139</v>
      </c>
      <c r="B588" s="21" t="s">
        <v>13</v>
      </c>
      <c r="C588" s="41">
        <v>0</v>
      </c>
      <c r="D588" s="78">
        <v>20</v>
      </c>
      <c r="E588" s="78">
        <f>+D588*C588</f>
        <v>0</v>
      </c>
    </row>
    <row r="589" spans="4:6" ht="13.5" hidden="1" thickBot="1">
      <c r="D589" s="81"/>
      <c r="F589" s="27">
        <f>SUM(E585:E588)</f>
        <v>0</v>
      </c>
    </row>
    <row r="590" ht="11.25" customHeight="1" hidden="1"/>
    <row r="591" ht="12.75" hidden="1">
      <c r="A591" s="13" t="s">
        <v>216</v>
      </c>
    </row>
    <row r="592" ht="11.25" customHeight="1" hidden="1"/>
    <row r="593" ht="12.75" hidden="1">
      <c r="A593" s="13" t="s">
        <v>217</v>
      </c>
    </row>
    <row r="594" spans="1:6" ht="13.5" hidden="1" thickBot="1">
      <c r="A594" s="82" t="s">
        <v>143</v>
      </c>
      <c r="B594" s="83" t="s">
        <v>144</v>
      </c>
      <c r="C594" s="83" t="s">
        <v>59</v>
      </c>
      <c r="D594" s="84" t="s">
        <v>147</v>
      </c>
      <c r="E594" s="84" t="s">
        <v>145</v>
      </c>
      <c r="F594" s="85" t="s">
        <v>146</v>
      </c>
    </row>
    <row r="595" spans="1:5" ht="12.75" hidden="1">
      <c r="A595" s="17" t="s">
        <v>210</v>
      </c>
      <c r="B595" s="18" t="s">
        <v>13</v>
      </c>
      <c r="C595" s="18">
        <v>0</v>
      </c>
      <c r="D595" s="131">
        <v>1811.72</v>
      </c>
      <c r="E595" s="19">
        <f>C595*D595</f>
        <v>0</v>
      </c>
    </row>
    <row r="596" spans="1:5" ht="12.75" hidden="1">
      <c r="A596" s="20" t="s">
        <v>211</v>
      </c>
      <c r="B596" s="21" t="s">
        <v>3</v>
      </c>
      <c r="C596" s="21">
        <v>90</v>
      </c>
      <c r="D596" s="22">
        <f>E595</f>
        <v>0</v>
      </c>
      <c r="E596" s="22">
        <f>C596*D596/100</f>
        <v>0</v>
      </c>
    </row>
    <row r="597" spans="1:5" ht="12.75" hidden="1">
      <c r="A597" s="20" t="s">
        <v>212</v>
      </c>
      <c r="B597" s="21" t="s">
        <v>12</v>
      </c>
      <c r="C597" s="21">
        <v>60</v>
      </c>
      <c r="D597" s="22">
        <f>E596</f>
        <v>0</v>
      </c>
      <c r="E597" s="22">
        <f>D597/C597</f>
        <v>0</v>
      </c>
    </row>
    <row r="598" ht="13.5" hidden="1" thickBot="1">
      <c r="F598" s="27">
        <f>E597</f>
        <v>0</v>
      </c>
    </row>
    <row r="599" ht="11.25" customHeight="1" hidden="1"/>
    <row r="600" ht="12.75" hidden="1">
      <c r="A600" s="13" t="s">
        <v>218</v>
      </c>
    </row>
    <row r="601" spans="1:6" ht="13.5" hidden="1" thickBot="1">
      <c r="A601" s="82" t="s">
        <v>143</v>
      </c>
      <c r="B601" s="83" t="s">
        <v>144</v>
      </c>
      <c r="C601" s="83" t="s">
        <v>59</v>
      </c>
      <c r="D601" s="84" t="s">
        <v>147</v>
      </c>
      <c r="E601" s="84" t="s">
        <v>145</v>
      </c>
      <c r="F601" s="85" t="s">
        <v>146</v>
      </c>
    </row>
    <row r="602" spans="1:6" ht="12.75" hidden="1">
      <c r="A602" s="17" t="s">
        <v>213</v>
      </c>
      <c r="B602" s="18" t="s">
        <v>13</v>
      </c>
      <c r="C602" s="18">
        <v>1</v>
      </c>
      <c r="D602" s="19">
        <f>E595</f>
        <v>0</v>
      </c>
      <c r="E602" s="19">
        <f>C602*D602</f>
        <v>0</v>
      </c>
      <c r="F602" s="24"/>
    </row>
    <row r="603" spans="1:6" ht="12.75" hidden="1">
      <c r="A603" s="20" t="s">
        <v>18</v>
      </c>
      <c r="B603" s="21" t="s">
        <v>3</v>
      </c>
      <c r="C603" s="21">
        <v>0.5</v>
      </c>
      <c r="D603" s="22">
        <f>E602</f>
        <v>0</v>
      </c>
      <c r="E603" s="22">
        <f>C603*D603/100</f>
        <v>0</v>
      </c>
      <c r="F603" s="24"/>
    </row>
    <row r="604" spans="3:6" ht="13.5" hidden="1" thickBot="1">
      <c r="C604" s="23"/>
      <c r="D604" s="24"/>
      <c r="E604" s="24"/>
      <c r="F604" s="27">
        <f>E603</f>
        <v>0</v>
      </c>
    </row>
    <row r="605" ht="11.25" customHeight="1" hidden="1"/>
    <row r="606" ht="12.75" hidden="1">
      <c r="A606" s="13" t="s">
        <v>219</v>
      </c>
    </row>
    <row r="607" spans="1:6" ht="13.5" hidden="1" thickBot="1">
      <c r="A607" s="82" t="s">
        <v>143</v>
      </c>
      <c r="B607" s="83" t="s">
        <v>144</v>
      </c>
      <c r="C607" s="83" t="s">
        <v>59</v>
      </c>
      <c r="D607" s="84" t="s">
        <v>147</v>
      </c>
      <c r="E607" s="84" t="s">
        <v>145</v>
      </c>
      <c r="F607" s="85" t="s">
        <v>146</v>
      </c>
    </row>
    <row r="608" spans="1:5" ht="12.75" hidden="1">
      <c r="A608" s="17" t="s">
        <v>210</v>
      </c>
      <c r="B608" s="18" t="s">
        <v>13</v>
      </c>
      <c r="C608" s="18">
        <f>C595</f>
        <v>0</v>
      </c>
      <c r="D608" s="19">
        <f>D595</f>
        <v>1811.72</v>
      </c>
      <c r="E608" s="19">
        <f>C608*D608</f>
        <v>0</v>
      </c>
    </row>
    <row r="609" spans="1:5" ht="12.75" hidden="1">
      <c r="A609" s="20" t="s">
        <v>214</v>
      </c>
      <c r="B609" s="21" t="s">
        <v>3</v>
      </c>
      <c r="C609" s="21">
        <v>40</v>
      </c>
      <c r="D609" s="22">
        <f>E608</f>
        <v>0</v>
      </c>
      <c r="E609" s="22">
        <f>C609*D609/100</f>
        <v>0</v>
      </c>
    </row>
    <row r="610" spans="1:5" ht="12.75" hidden="1">
      <c r="A610" s="20" t="s">
        <v>215</v>
      </c>
      <c r="B610" s="21" t="s">
        <v>12</v>
      </c>
      <c r="C610" s="21">
        <v>60</v>
      </c>
      <c r="D610" s="22">
        <f>E609</f>
        <v>0</v>
      </c>
      <c r="E610" s="22">
        <f>D610/C610</f>
        <v>0</v>
      </c>
    </row>
    <row r="611" ht="13.5" hidden="1" thickBot="1">
      <c r="F611" s="27">
        <f>E610</f>
        <v>0</v>
      </c>
    </row>
    <row r="612" ht="11.25" customHeight="1" hidden="1" thickBot="1"/>
    <row r="613" spans="1:6" ht="13.5" hidden="1" thickBot="1">
      <c r="A613" s="43" t="s">
        <v>225</v>
      </c>
      <c r="B613" s="225">
        <f>F611+F604+F598</f>
        <v>0</v>
      </c>
      <c r="C613" s="226"/>
      <c r="F613" s="42"/>
    </row>
    <row r="614" ht="11.25" customHeight="1" hidden="1"/>
    <row r="615" ht="12.75" hidden="1">
      <c r="A615" s="13" t="s">
        <v>220</v>
      </c>
    </row>
    <row r="616" ht="11.25" customHeight="1" hidden="1"/>
    <row r="617" ht="12.75" hidden="1">
      <c r="A617" s="13" t="s">
        <v>221</v>
      </c>
    </row>
    <row r="618" spans="1:6" ht="13.5" hidden="1" thickBot="1">
      <c r="A618" s="82" t="s">
        <v>143</v>
      </c>
      <c r="B618" s="83" t="s">
        <v>144</v>
      </c>
      <c r="C618" s="83" t="s">
        <v>59</v>
      </c>
      <c r="D618" s="84" t="s">
        <v>147</v>
      </c>
      <c r="E618" s="84" t="s">
        <v>145</v>
      </c>
      <c r="F618" s="85" t="s">
        <v>146</v>
      </c>
    </row>
    <row r="619" spans="1:5" ht="12.75" hidden="1">
      <c r="A619" s="17" t="s">
        <v>210</v>
      </c>
      <c r="B619" s="18" t="s">
        <v>13</v>
      </c>
      <c r="C619" s="18">
        <v>0</v>
      </c>
      <c r="D619" s="131">
        <v>0</v>
      </c>
      <c r="E619" s="19">
        <f>C619*D619</f>
        <v>0</v>
      </c>
    </row>
    <row r="620" spans="1:5" ht="12.75" hidden="1">
      <c r="A620" s="20" t="s">
        <v>211</v>
      </c>
      <c r="B620" s="21" t="s">
        <v>3</v>
      </c>
      <c r="C620" s="21">
        <v>0</v>
      </c>
      <c r="D620" s="22">
        <f>E619</f>
        <v>0</v>
      </c>
      <c r="E620" s="22">
        <f>C620*D620/100</f>
        <v>0</v>
      </c>
    </row>
    <row r="621" spans="1:5" ht="12.75" hidden="1">
      <c r="A621" s="20" t="s">
        <v>212</v>
      </c>
      <c r="B621" s="21" t="s">
        <v>12</v>
      </c>
      <c r="C621" s="21">
        <f>+C597</f>
        <v>60</v>
      </c>
      <c r="D621" s="22">
        <f>E620</f>
        <v>0</v>
      </c>
      <c r="E621" s="22">
        <f>D621/C621</f>
        <v>0</v>
      </c>
    </row>
    <row r="622" ht="13.5" hidden="1" thickBot="1">
      <c r="F622" s="27">
        <f>E621</f>
        <v>0</v>
      </c>
    </row>
    <row r="623" ht="11.25" customHeight="1" hidden="1"/>
    <row r="624" ht="12.75" hidden="1">
      <c r="A624" s="13" t="s">
        <v>222</v>
      </c>
    </row>
    <row r="625" spans="1:6" ht="13.5" hidden="1" thickBot="1">
      <c r="A625" s="82" t="s">
        <v>143</v>
      </c>
      <c r="B625" s="83" t="s">
        <v>144</v>
      </c>
      <c r="C625" s="83" t="s">
        <v>59</v>
      </c>
      <c r="D625" s="84" t="s">
        <v>147</v>
      </c>
      <c r="E625" s="84" t="s">
        <v>145</v>
      </c>
      <c r="F625" s="85" t="s">
        <v>146</v>
      </c>
    </row>
    <row r="626" spans="1:6" ht="12.75" hidden="1">
      <c r="A626" s="17" t="s">
        <v>213</v>
      </c>
      <c r="B626" s="18" t="s">
        <v>13</v>
      </c>
      <c r="C626" s="18">
        <v>1</v>
      </c>
      <c r="D626" s="19">
        <f>E619</f>
        <v>0</v>
      </c>
      <c r="E626" s="19">
        <f>C626*D626</f>
        <v>0</v>
      </c>
      <c r="F626" s="24"/>
    </row>
    <row r="627" spans="1:6" ht="12.75" hidden="1">
      <c r="A627" s="20" t="s">
        <v>18</v>
      </c>
      <c r="B627" s="21" t="s">
        <v>3</v>
      </c>
      <c r="C627" s="21">
        <v>0.5</v>
      </c>
      <c r="D627" s="22">
        <f>E626</f>
        <v>0</v>
      </c>
      <c r="E627" s="22">
        <f>C627*D627/100</f>
        <v>0</v>
      </c>
      <c r="F627" s="24"/>
    </row>
    <row r="628" spans="3:6" ht="13.5" hidden="1" thickBot="1">
      <c r="C628" s="23"/>
      <c r="D628" s="24"/>
      <c r="E628" s="24"/>
      <c r="F628" s="27">
        <f>E627</f>
        <v>0</v>
      </c>
    </row>
    <row r="629" ht="11.25" customHeight="1" hidden="1"/>
    <row r="630" ht="12.75" hidden="1">
      <c r="A630" s="13" t="s">
        <v>223</v>
      </c>
    </row>
    <row r="631" spans="1:6" ht="13.5" hidden="1" thickBot="1">
      <c r="A631" s="82" t="s">
        <v>143</v>
      </c>
      <c r="B631" s="83" t="s">
        <v>144</v>
      </c>
      <c r="C631" s="83" t="s">
        <v>59</v>
      </c>
      <c r="D631" s="84" t="s">
        <v>147</v>
      </c>
      <c r="E631" s="84" t="s">
        <v>145</v>
      </c>
      <c r="F631" s="85" t="s">
        <v>146</v>
      </c>
    </row>
    <row r="632" spans="1:5" ht="12.75" hidden="1">
      <c r="A632" s="17" t="s">
        <v>210</v>
      </c>
      <c r="B632" s="18" t="s">
        <v>13</v>
      </c>
      <c r="C632" s="18">
        <f>C619</f>
        <v>0</v>
      </c>
      <c r="D632" s="19">
        <f>D619</f>
        <v>0</v>
      </c>
      <c r="E632" s="19">
        <f>C632*D632</f>
        <v>0</v>
      </c>
    </row>
    <row r="633" spans="1:5" ht="12.75" hidden="1">
      <c r="A633" s="20" t="s">
        <v>214</v>
      </c>
      <c r="B633" s="21" t="s">
        <v>3</v>
      </c>
      <c r="C633" s="21">
        <v>0</v>
      </c>
      <c r="D633" s="22">
        <f>E632</f>
        <v>0</v>
      </c>
      <c r="E633" s="22">
        <f>C633*D633/100</f>
        <v>0</v>
      </c>
    </row>
    <row r="634" spans="1:5" ht="12.75" hidden="1">
      <c r="A634" s="20" t="s">
        <v>215</v>
      </c>
      <c r="B634" s="21" t="s">
        <v>12</v>
      </c>
      <c r="C634" s="21">
        <f>+C610</f>
        <v>60</v>
      </c>
      <c r="D634" s="22">
        <f>E633</f>
        <v>0</v>
      </c>
      <c r="E634" s="22">
        <f>D634/C634</f>
        <v>0</v>
      </c>
    </row>
    <row r="635" ht="13.5" hidden="1" thickBot="1">
      <c r="F635" s="27">
        <f>E634</f>
        <v>0</v>
      </c>
    </row>
    <row r="636" ht="11.25" customHeight="1" hidden="1" thickBot="1"/>
    <row r="637" spans="1:6" ht="13.5" hidden="1" thickBot="1">
      <c r="A637" s="43" t="s">
        <v>224</v>
      </c>
      <c r="B637" s="225">
        <f>F635+F628+F622</f>
        <v>0</v>
      </c>
      <c r="C637" s="226"/>
      <c r="F637" s="42"/>
    </row>
    <row r="638" ht="11.25" customHeight="1" thickBot="1"/>
    <row r="639" spans="1:6" ht="13.5" thickBot="1">
      <c r="A639" s="29" t="s">
        <v>120</v>
      </c>
      <c r="B639" s="30"/>
      <c r="C639" s="30"/>
      <c r="D639" s="31"/>
      <c r="E639" s="32"/>
      <c r="F639" s="27">
        <f>+SUM(F290:F638)</f>
        <v>3483.288867777778</v>
      </c>
    </row>
    <row r="640" ht="11.25" customHeight="1"/>
    <row r="641" spans="1:6" ht="12.75" hidden="1">
      <c r="A641" s="45" t="s">
        <v>165</v>
      </c>
      <c r="B641" s="45"/>
      <c r="C641" s="45"/>
      <c r="D641" s="46"/>
      <c r="E641" s="46"/>
      <c r="F641" s="42"/>
    </row>
    <row r="642" ht="11.25" customHeight="1" hidden="1" thickBot="1"/>
    <row r="643" spans="1:6" ht="13.5" hidden="1" thickBot="1">
      <c r="A643" s="82" t="s">
        <v>143</v>
      </c>
      <c r="B643" s="83" t="s">
        <v>144</v>
      </c>
      <c r="C643" s="83" t="s">
        <v>59</v>
      </c>
      <c r="D643" s="84" t="s">
        <v>147</v>
      </c>
      <c r="E643" s="84" t="s">
        <v>145</v>
      </c>
      <c r="F643" s="85" t="s">
        <v>146</v>
      </c>
    </row>
    <row r="644" spans="1:6" ht="12.75" hidden="1">
      <c r="A644" s="20" t="s">
        <v>160</v>
      </c>
      <c r="B644" s="21" t="s">
        <v>13</v>
      </c>
      <c r="C644" s="72">
        <v>0</v>
      </c>
      <c r="D644" s="22">
        <v>42</v>
      </c>
      <c r="E644" s="22">
        <f aca="true" t="shared" si="3" ref="E644:E649">C644*D644</f>
        <v>0</v>
      </c>
      <c r="F644" s="73"/>
    </row>
    <row r="645" spans="1:6" ht="12.75" hidden="1">
      <c r="A645" s="20" t="s">
        <v>41</v>
      </c>
      <c r="B645" s="21" t="s">
        <v>13</v>
      </c>
      <c r="C645" s="72">
        <v>0</v>
      </c>
      <c r="D645" s="22">
        <v>15.6</v>
      </c>
      <c r="E645" s="22">
        <f t="shared" si="3"/>
        <v>0</v>
      </c>
      <c r="F645" s="73"/>
    </row>
    <row r="646" spans="1:6" ht="12.75" hidden="1">
      <c r="A646" s="20" t="s">
        <v>42</v>
      </c>
      <c r="B646" s="21" t="s">
        <v>13</v>
      </c>
      <c r="C646" s="72">
        <v>0</v>
      </c>
      <c r="D646" s="22">
        <v>7.5</v>
      </c>
      <c r="E646" s="22">
        <f t="shared" si="3"/>
        <v>0</v>
      </c>
      <c r="F646" s="73"/>
    </row>
    <row r="647" spans="1:6" ht="12.75" hidden="1">
      <c r="A647" s="20" t="s">
        <v>142</v>
      </c>
      <c r="B647" s="21" t="s">
        <v>13</v>
      </c>
      <c r="C647" s="33">
        <f>+E45*(2/12)</f>
        <v>0</v>
      </c>
      <c r="D647" s="22">
        <f>12*(3*4)</f>
        <v>144</v>
      </c>
      <c r="E647" s="22">
        <f t="shared" si="3"/>
        <v>0</v>
      </c>
      <c r="F647" s="73"/>
    </row>
    <row r="648" spans="1:6" ht="12.75" hidden="1">
      <c r="A648" s="20" t="s">
        <v>129</v>
      </c>
      <c r="B648" s="21" t="s">
        <v>130</v>
      </c>
      <c r="C648" s="33">
        <v>0</v>
      </c>
      <c r="D648" s="22">
        <f>47*2*(2*1.35)</f>
        <v>253.8</v>
      </c>
      <c r="E648" s="22">
        <f t="shared" si="3"/>
        <v>0</v>
      </c>
      <c r="F648" s="73"/>
    </row>
    <row r="649" spans="1:6" ht="12.75" hidden="1">
      <c r="A649" s="20" t="s">
        <v>132</v>
      </c>
      <c r="B649" s="21" t="s">
        <v>130</v>
      </c>
      <c r="C649" s="33">
        <v>0</v>
      </c>
      <c r="D649" s="22">
        <f>47*2*(0.5*0.4)</f>
        <v>18.8</v>
      </c>
      <c r="E649" s="22">
        <f t="shared" si="3"/>
        <v>0</v>
      </c>
      <c r="F649" s="73"/>
    </row>
    <row r="650" spans="1:6" ht="13.5" hidden="1" thickBot="1">
      <c r="A650" s="45"/>
      <c r="B650" s="45"/>
      <c r="C650" s="45"/>
      <c r="D650" s="45"/>
      <c r="E650" s="46"/>
      <c r="F650" s="27">
        <f>SUM(E644:E649)</f>
        <v>0</v>
      </c>
    </row>
    <row r="651" ht="11.25" customHeight="1" hidden="1" thickBot="1"/>
    <row r="652" spans="1:6" ht="13.5" hidden="1" thickBot="1">
      <c r="A652" s="29" t="s">
        <v>127</v>
      </c>
      <c r="B652" s="30"/>
      <c r="C652" s="30"/>
      <c r="D652" s="31"/>
      <c r="E652" s="32"/>
      <c r="F652" s="27">
        <f>+F650</f>
        <v>0</v>
      </c>
    </row>
    <row r="653" ht="11.25" customHeight="1" hidden="1"/>
    <row r="654" spans="1:6" ht="12.75" hidden="1">
      <c r="A654" s="45" t="s">
        <v>166</v>
      </c>
      <c r="B654" s="45"/>
      <c r="C654" s="45"/>
      <c r="D654" s="46"/>
      <c r="E654" s="46"/>
      <c r="F654" s="42"/>
    </row>
    <row r="655" ht="11.25" customHeight="1" hidden="1" thickBot="1"/>
    <row r="656" spans="1:6" ht="13.5" hidden="1" thickBot="1">
      <c r="A656" s="82" t="s">
        <v>143</v>
      </c>
      <c r="B656" s="83" t="s">
        <v>144</v>
      </c>
      <c r="C656" s="83" t="s">
        <v>59</v>
      </c>
      <c r="D656" s="84" t="s">
        <v>147</v>
      </c>
      <c r="E656" s="84" t="s">
        <v>145</v>
      </c>
      <c r="F656" s="85" t="s">
        <v>146</v>
      </c>
    </row>
    <row r="657" spans="1:6" ht="12.75" hidden="1">
      <c r="A657" s="20" t="s">
        <v>230</v>
      </c>
      <c r="B657" s="70" t="s">
        <v>130</v>
      </c>
      <c r="C657" s="105">
        <v>0</v>
      </c>
      <c r="D657" s="22">
        <v>2300</v>
      </c>
      <c r="E657" s="22">
        <f>+D657*C657</f>
        <v>0</v>
      </c>
      <c r="F657" s="73"/>
    </row>
    <row r="658" spans="1:6" ht="12.75" hidden="1">
      <c r="A658" s="20" t="s">
        <v>231</v>
      </c>
      <c r="B658" s="70" t="s">
        <v>130</v>
      </c>
      <c r="C658" s="105">
        <v>0</v>
      </c>
      <c r="D658" s="22">
        <v>3425</v>
      </c>
      <c r="E658" s="22">
        <f>+D658*C658</f>
        <v>0</v>
      </c>
      <c r="F658" s="73"/>
    </row>
    <row r="659" spans="1:6" ht="12.75" hidden="1">
      <c r="A659" s="20" t="s">
        <v>207</v>
      </c>
      <c r="B659" s="70" t="s">
        <v>130</v>
      </c>
      <c r="C659" s="105">
        <v>0</v>
      </c>
      <c r="D659" s="22">
        <v>3190</v>
      </c>
      <c r="E659" s="22">
        <f>+D659*C659</f>
        <v>0</v>
      </c>
      <c r="F659" s="73"/>
    </row>
    <row r="660" spans="1:6" ht="12.75" hidden="1">
      <c r="A660" s="126" t="s">
        <v>133</v>
      </c>
      <c r="B660" s="127" t="s">
        <v>12</v>
      </c>
      <c r="C660" s="128">
        <v>60</v>
      </c>
      <c r="D660" s="129">
        <f>SUM(E657:E659)</f>
        <v>0</v>
      </c>
      <c r="E660" s="129">
        <f>+D660/C660</f>
        <v>0</v>
      </c>
      <c r="F660" s="73"/>
    </row>
    <row r="661" spans="1:6" ht="12.75" hidden="1">
      <c r="A661" s="20" t="s">
        <v>209</v>
      </c>
      <c r="B661" s="21" t="s">
        <v>13</v>
      </c>
      <c r="C661" s="105">
        <f>+C657</f>
        <v>0</v>
      </c>
      <c r="D661" s="22">
        <v>240</v>
      </c>
      <c r="E661" s="22">
        <f>C661*D661</f>
        <v>0</v>
      </c>
      <c r="F661" s="73"/>
    </row>
    <row r="662" spans="1:6" ht="12.75" hidden="1">
      <c r="A662" s="20" t="s">
        <v>208</v>
      </c>
      <c r="B662" s="21" t="s">
        <v>13</v>
      </c>
      <c r="C662" s="105">
        <f>+C658</f>
        <v>0</v>
      </c>
      <c r="D662" s="22">
        <v>171.25</v>
      </c>
      <c r="E662" s="22">
        <f>C662*D662</f>
        <v>0</v>
      </c>
      <c r="F662" s="73"/>
    </row>
    <row r="663" spans="1:6" ht="12.75" hidden="1">
      <c r="A663" s="126" t="s">
        <v>53</v>
      </c>
      <c r="B663" s="127" t="s">
        <v>12</v>
      </c>
      <c r="C663" s="128">
        <v>1</v>
      </c>
      <c r="D663" s="129">
        <f>+E661+E662</f>
        <v>0</v>
      </c>
      <c r="E663" s="129">
        <f>+D663/C663</f>
        <v>0</v>
      </c>
      <c r="F663" s="73"/>
    </row>
    <row r="664" spans="1:6" ht="13.5" hidden="1" thickBot="1">
      <c r="A664" s="130" t="s">
        <v>232</v>
      </c>
      <c r="B664" s="130"/>
      <c r="C664" s="130" t="s">
        <v>236</v>
      </c>
      <c r="D664" s="46"/>
      <c r="E664" s="46"/>
      <c r="F664" s="132">
        <f>+E660+E663</f>
        <v>0</v>
      </c>
    </row>
    <row r="665" spans="1:6" s="68" customFormat="1" ht="11.25" customHeight="1" hidden="1" thickBot="1">
      <c r="A665" s="13"/>
      <c r="B665" s="13"/>
      <c r="C665" s="13"/>
      <c r="D665" s="14"/>
      <c r="E665" s="14"/>
      <c r="F665" s="14"/>
    </row>
    <row r="666" spans="1:6" ht="13.5" hidden="1" thickBot="1">
      <c r="A666" s="29" t="s">
        <v>125</v>
      </c>
      <c r="B666" s="30"/>
      <c r="C666" s="30"/>
      <c r="D666" s="31"/>
      <c r="E666" s="32"/>
      <c r="F666" s="27">
        <f>+F664</f>
        <v>0</v>
      </c>
    </row>
    <row r="667" ht="11.25" customHeight="1" thickBot="1"/>
    <row r="668" spans="1:6" ht="17.25" customHeight="1" thickBot="1">
      <c r="A668" s="29" t="s">
        <v>51</v>
      </c>
      <c r="B668" s="34"/>
      <c r="C668" s="34"/>
      <c r="D668" s="35"/>
      <c r="E668" s="36"/>
      <c r="F668" s="28">
        <f>+F244+F282+F639+F652+F666</f>
        <v>12855.319090177778</v>
      </c>
    </row>
    <row r="669" ht="11.25" customHeight="1"/>
    <row r="670" ht="12.75">
      <c r="A670" s="15" t="s">
        <v>240</v>
      </c>
    </row>
    <row r="671" ht="11.25" customHeight="1" thickBot="1"/>
    <row r="672" spans="1:6" ht="13.5" thickBot="1">
      <c r="A672" s="82" t="s">
        <v>143</v>
      </c>
      <c r="B672" s="83" t="s">
        <v>144</v>
      </c>
      <c r="C672" s="83" t="s">
        <v>59</v>
      </c>
      <c r="D672" s="84" t="s">
        <v>147</v>
      </c>
      <c r="E672" s="84" t="s">
        <v>145</v>
      </c>
      <c r="F672" s="85" t="s">
        <v>146</v>
      </c>
    </row>
    <row r="673" spans="1:6" ht="13.5" thickBot="1">
      <c r="A673" s="141" t="s">
        <v>256</v>
      </c>
      <c r="B673" s="142" t="s">
        <v>3</v>
      </c>
      <c r="C673" s="157">
        <v>4.67</v>
      </c>
      <c r="D673" s="144">
        <f>+F668</f>
        <v>12855.319090177778</v>
      </c>
      <c r="E673" s="144">
        <f>C673*D673/100</f>
        <v>600.3434015113022</v>
      </c>
      <c r="F673" s="156"/>
    </row>
    <row r="674" spans="1:6" ht="13.5" thickBot="1">
      <c r="A674" s="141" t="s">
        <v>258</v>
      </c>
      <c r="B674" s="142" t="s">
        <v>3</v>
      </c>
      <c r="C674" s="157">
        <v>0.97</v>
      </c>
      <c r="D674" s="144">
        <f>+F668</f>
        <v>12855.319090177778</v>
      </c>
      <c r="E674" s="144">
        <f>C674*D674/100</f>
        <v>124.69659517472445</v>
      </c>
      <c r="F674" s="156"/>
    </row>
    <row r="675" spans="1:6" ht="13.5" thickBot="1">
      <c r="A675" s="141" t="s">
        <v>257</v>
      </c>
      <c r="B675" s="142" t="s">
        <v>3</v>
      </c>
      <c r="C675" s="142">
        <v>0.74</v>
      </c>
      <c r="D675" s="144">
        <f>+F668</f>
        <v>12855.319090177778</v>
      </c>
      <c r="E675" s="144">
        <f aca="true" t="shared" si="4" ref="E675:E680">C675*D675/100</f>
        <v>95.12936126731556</v>
      </c>
      <c r="F675" s="27"/>
    </row>
    <row r="676" spans="1:6" ht="13.5" thickBot="1">
      <c r="A676" s="141" t="s">
        <v>259</v>
      </c>
      <c r="B676" s="142" t="s">
        <v>3</v>
      </c>
      <c r="C676" s="142">
        <v>1.21</v>
      </c>
      <c r="D676" s="144">
        <f>+F668</f>
        <v>12855.319090177778</v>
      </c>
      <c r="E676" s="144">
        <f t="shared" si="4"/>
        <v>155.5493609911511</v>
      </c>
      <c r="F676" s="27"/>
    </row>
    <row r="677" spans="1:6" ht="13.5" thickBot="1">
      <c r="A677" s="141" t="s">
        <v>173</v>
      </c>
      <c r="B677" s="142" t="s">
        <v>3</v>
      </c>
      <c r="C677" s="142">
        <v>7.71</v>
      </c>
      <c r="D677" s="144">
        <f>+F668</f>
        <v>12855.319090177778</v>
      </c>
      <c r="E677" s="144">
        <f t="shared" si="4"/>
        <v>991.1451018527067</v>
      </c>
      <c r="F677" s="27"/>
    </row>
    <row r="678" spans="1:6" ht="13.5" thickBot="1">
      <c r="A678" s="141" t="s">
        <v>260</v>
      </c>
      <c r="B678" s="142" t="s">
        <v>3</v>
      </c>
      <c r="C678" s="142">
        <v>4.65</v>
      </c>
      <c r="D678" s="144">
        <f>+F668</f>
        <v>12855.319090177778</v>
      </c>
      <c r="E678" s="144">
        <f t="shared" si="4"/>
        <v>597.7723376932668</v>
      </c>
      <c r="F678" s="27"/>
    </row>
    <row r="679" spans="1:6" ht="13.5" thickBot="1">
      <c r="A679" s="141" t="s">
        <v>261</v>
      </c>
      <c r="B679" s="142" t="s">
        <v>3</v>
      </c>
      <c r="C679" s="142">
        <v>2</v>
      </c>
      <c r="D679" s="144">
        <f>+F668</f>
        <v>12855.319090177778</v>
      </c>
      <c r="E679" s="144">
        <f t="shared" si="4"/>
        <v>257.10638180355556</v>
      </c>
      <c r="F679" s="27"/>
    </row>
    <row r="680" spans="1:6" ht="11.25" customHeight="1" thickBot="1">
      <c r="A680" s="141"/>
      <c r="B680" s="141"/>
      <c r="C680" s="142">
        <v>27</v>
      </c>
      <c r="D680" s="156"/>
      <c r="E680" s="144">
        <f t="shared" si="4"/>
        <v>0</v>
      </c>
      <c r="F680" s="156"/>
    </row>
    <row r="681" spans="1:6" ht="13.5" thickBot="1">
      <c r="A681" s="29" t="s">
        <v>126</v>
      </c>
      <c r="B681" s="30"/>
      <c r="C681" s="30"/>
      <c r="D681" s="31"/>
      <c r="E681" s="32"/>
      <c r="F681" s="27">
        <f>E673+E674+E675+E676+E677+E678+E679</f>
        <v>2821.742540294022</v>
      </c>
    </row>
    <row r="682" ht="11.25" customHeight="1" thickBot="1"/>
    <row r="683" spans="1:6" ht="13.5" thickBot="1">
      <c r="A683" s="29" t="s">
        <v>52</v>
      </c>
      <c r="B683" s="34"/>
      <c r="C683" s="34"/>
      <c r="D683" s="35"/>
      <c r="E683" s="36"/>
      <c r="F683" s="28">
        <f>F668+F681</f>
        <v>15677.0616304718</v>
      </c>
    </row>
    <row r="684" spans="1:6" ht="12.75">
      <c r="A684" s="45"/>
      <c r="B684" s="71"/>
      <c r="C684" s="71"/>
      <c r="D684" s="79"/>
      <c r="E684" s="79"/>
      <c r="F684" s="204"/>
    </row>
    <row r="685" spans="1:6" ht="12" customHeight="1">
      <c r="A685" s="74"/>
      <c r="B685" s="74"/>
      <c r="C685" s="74"/>
      <c r="D685" s="75"/>
      <c r="E685" s="75"/>
      <c r="F685" s="75"/>
    </row>
    <row r="686" spans="1:6" s="5" customFormat="1" ht="7.5" customHeight="1">
      <c r="A686" s="101"/>
      <c r="B686" s="102"/>
      <c r="C686" s="102"/>
      <c r="D686" s="103"/>
      <c r="E686" s="103"/>
      <c r="F686" s="103"/>
    </row>
    <row r="687" spans="1:6" s="5" customFormat="1" ht="12" customHeight="1">
      <c r="A687" s="54"/>
      <c r="B687" s="14"/>
      <c r="C687" s="14"/>
      <c r="D687" s="14"/>
      <c r="E687" s="14"/>
      <c r="F687" s="14"/>
    </row>
    <row r="688" spans="1:5" ht="15.75">
      <c r="A688" s="242" t="s">
        <v>248</v>
      </c>
      <c r="B688" s="232"/>
      <c r="C688" s="232"/>
      <c r="D688" s="232"/>
      <c r="E688" s="232"/>
    </row>
    <row r="689" ht="9.75" customHeight="1"/>
    <row r="690" spans="1:6" ht="15.75" customHeight="1">
      <c r="A690" s="154" t="s">
        <v>246</v>
      </c>
      <c r="B690" s="146"/>
      <c r="C690" s="80"/>
      <c r="D690" s="150"/>
      <c r="E690" s="147">
        <f>F683</f>
        <v>15677.0616304718</v>
      </c>
      <c r="F690" s="14">
        <f>F683</f>
        <v>15677.0616304718</v>
      </c>
    </row>
    <row r="691" spans="1:5" ht="15">
      <c r="A691" s="155"/>
      <c r="B691" s="145"/>
      <c r="C691" s="169" t="s">
        <v>262</v>
      </c>
      <c r="D691" s="151" t="s">
        <v>263</v>
      </c>
      <c r="E691" s="152"/>
    </row>
    <row r="692" spans="1:6" ht="15.75" customHeight="1">
      <c r="A692" s="155" t="s">
        <v>247</v>
      </c>
      <c r="B692" s="145"/>
      <c r="C692" s="145">
        <v>34</v>
      </c>
      <c r="D692" s="168">
        <v>145</v>
      </c>
      <c r="E692" s="166"/>
      <c r="F692" s="14">
        <f>D692*C692</f>
        <v>4930</v>
      </c>
    </row>
    <row r="693" spans="1:5" ht="15.75" customHeight="1">
      <c r="A693" s="148"/>
      <c r="B693" s="145"/>
      <c r="C693" s="145"/>
      <c r="D693" s="153"/>
      <c r="E693" s="166"/>
    </row>
    <row r="694" spans="1:6" ht="15.75" customHeight="1">
      <c r="A694" s="240" t="s">
        <v>250</v>
      </c>
      <c r="B694" s="241"/>
      <c r="C694" s="241"/>
      <c r="D694" s="149"/>
      <c r="E694" s="167"/>
      <c r="F694" s="165">
        <f>F690+F692</f>
        <v>20607.0616304718</v>
      </c>
    </row>
    <row r="695" spans="4:5" ht="12.75">
      <c r="D695" s="60"/>
      <c r="E695" s="60"/>
    </row>
    <row r="696" spans="1:6" s="5" customFormat="1" ht="7.5" customHeight="1">
      <c r="A696" s="101"/>
      <c r="B696" s="102"/>
      <c r="C696" s="102"/>
      <c r="D696" s="103"/>
      <c r="E696" s="103"/>
      <c r="F696" s="103"/>
    </row>
    <row r="697" spans="1:6" s="5" customFormat="1" ht="9.75" customHeight="1">
      <c r="A697" s="170"/>
      <c r="B697" s="171"/>
      <c r="C697" s="171"/>
      <c r="D697" s="14"/>
      <c r="E697" s="14"/>
      <c r="F697" s="14"/>
    </row>
    <row r="698" spans="1:6" s="5" customFormat="1" ht="16.5" customHeight="1">
      <c r="A698" s="172" t="s">
        <v>5</v>
      </c>
      <c r="B698" s="173"/>
      <c r="C698" s="173"/>
      <c r="D698" s="158"/>
      <c r="E698" s="158"/>
      <c r="F698" s="158"/>
    </row>
    <row r="699" spans="1:6" s="15" customFormat="1" ht="6.75" customHeight="1">
      <c r="A699" s="174"/>
      <c r="B699" s="175"/>
      <c r="C699" s="176"/>
      <c r="D699" s="158"/>
      <c r="E699" s="159"/>
      <c r="F699" s="159"/>
    </row>
    <row r="700" spans="1:6" s="62" customFormat="1" ht="16.5" customHeight="1">
      <c r="A700" s="177" t="s">
        <v>60</v>
      </c>
      <c r="B700" s="178"/>
      <c r="C700" s="176"/>
      <c r="D700" s="158"/>
      <c r="E700" s="160"/>
      <c r="F700" s="160"/>
    </row>
    <row r="701" spans="1:6" s="5" customFormat="1" ht="12.75" customHeight="1">
      <c r="A701" s="179" t="s">
        <v>61</v>
      </c>
      <c r="B701" s="180">
        <v>0.2</v>
      </c>
      <c r="C701" s="176"/>
      <c r="D701" s="158"/>
      <c r="E701" s="158"/>
      <c r="F701" s="158"/>
    </row>
    <row r="702" spans="1:6" s="5" customFormat="1" ht="12.75" customHeight="1">
      <c r="A702" s="179" t="s">
        <v>62</v>
      </c>
      <c r="B702" s="180">
        <v>0.08</v>
      </c>
      <c r="C702" s="176"/>
      <c r="D702" s="158"/>
      <c r="E702" s="158"/>
      <c r="F702" s="158"/>
    </row>
    <row r="703" spans="1:6" s="5" customFormat="1" ht="12.75" customHeight="1">
      <c r="A703" s="179" t="s">
        <v>63</v>
      </c>
      <c r="B703" s="180">
        <v>0.03</v>
      </c>
      <c r="C703" s="176"/>
      <c r="D703" s="158"/>
      <c r="E703" s="158"/>
      <c r="F703" s="158"/>
    </row>
    <row r="704" spans="1:6" s="5" customFormat="1" ht="12.75" customHeight="1">
      <c r="A704" s="179" t="s">
        <v>64</v>
      </c>
      <c r="B704" s="180">
        <v>0.025</v>
      </c>
      <c r="C704" s="176"/>
      <c r="D704" s="158"/>
      <c r="E704" s="158"/>
      <c r="F704" s="158"/>
    </row>
    <row r="705" spans="1:6" s="5" customFormat="1" ht="12.75" customHeight="1">
      <c r="A705" s="179" t="s">
        <v>65</v>
      </c>
      <c r="B705" s="180">
        <v>0.006</v>
      </c>
      <c r="C705" s="176"/>
      <c r="D705" s="158"/>
      <c r="E705" s="158"/>
      <c r="F705" s="158"/>
    </row>
    <row r="706" spans="1:6" s="5" customFormat="1" ht="12.75" customHeight="1">
      <c r="A706" s="179" t="s">
        <v>66</v>
      </c>
      <c r="B706" s="180">
        <v>0.015</v>
      </c>
      <c r="C706" s="176"/>
      <c r="D706" s="158"/>
      <c r="E706" s="158"/>
      <c r="F706" s="158"/>
    </row>
    <row r="707" spans="1:6" s="5" customFormat="1" ht="12.75" customHeight="1">
      <c r="A707" s="179" t="s">
        <v>67</v>
      </c>
      <c r="B707" s="180">
        <v>0.01</v>
      </c>
      <c r="C707" s="176"/>
      <c r="D707" s="158"/>
      <c r="E707" s="158"/>
      <c r="F707" s="158"/>
    </row>
    <row r="708" spans="1:6" s="5" customFormat="1" ht="12.75" customHeight="1">
      <c r="A708" s="179" t="s">
        <v>68</v>
      </c>
      <c r="B708" s="180">
        <v>0.002</v>
      </c>
      <c r="C708" s="176"/>
      <c r="D708" s="158"/>
      <c r="E708" s="158"/>
      <c r="F708" s="158"/>
    </row>
    <row r="709" spans="1:6" s="15" customFormat="1" ht="12.75" customHeight="1">
      <c r="A709" s="181" t="s">
        <v>69</v>
      </c>
      <c r="B709" s="182">
        <f>SUM(B701:B708)</f>
        <v>0.3680000000000001</v>
      </c>
      <c r="C709" s="176"/>
      <c r="D709" s="158"/>
      <c r="E709" s="159"/>
      <c r="F709" s="159"/>
    </row>
    <row r="710" spans="1:6" ht="9" customHeight="1">
      <c r="A710" s="183"/>
      <c r="B710" s="183"/>
      <c r="C710" s="183"/>
      <c r="D710" s="158"/>
      <c r="E710" s="158"/>
      <c r="F710" s="158"/>
    </row>
    <row r="711" spans="1:6" s="62" customFormat="1" ht="16.5" customHeight="1">
      <c r="A711" s="177" t="s">
        <v>70</v>
      </c>
      <c r="B711" s="184"/>
      <c r="C711" s="176"/>
      <c r="D711" s="158"/>
      <c r="E711" s="160"/>
      <c r="F711" s="160"/>
    </row>
    <row r="712" spans="1:6" s="5" customFormat="1" ht="12.75" customHeight="1">
      <c r="A712" s="179" t="s">
        <v>71</v>
      </c>
      <c r="B712" s="180">
        <v>0.1839</v>
      </c>
      <c r="C712" s="176"/>
      <c r="D712" s="158"/>
      <c r="E712" s="158"/>
      <c r="F712" s="158"/>
    </row>
    <row r="713" spans="1:6" s="5" customFormat="1" ht="12.75" customHeight="1">
      <c r="A713" s="179" t="s">
        <v>72</v>
      </c>
      <c r="B713" s="180">
        <v>0.1103</v>
      </c>
      <c r="C713" s="176"/>
      <c r="D713" s="158"/>
      <c r="E713" s="158"/>
      <c r="F713" s="158"/>
    </row>
    <row r="714" spans="1:6" s="5" customFormat="1" ht="12.75" customHeight="1">
      <c r="A714" s="179" t="s">
        <v>73</v>
      </c>
      <c r="B714" s="180">
        <v>0.0193</v>
      </c>
      <c r="C714" s="176"/>
      <c r="D714" s="158"/>
      <c r="E714" s="158"/>
      <c r="F714" s="158"/>
    </row>
    <row r="715" spans="1:6" s="15" customFormat="1" ht="12.75" customHeight="1">
      <c r="A715" s="181" t="s">
        <v>69</v>
      </c>
      <c r="B715" s="182">
        <f>SUM(B712:B714)</f>
        <v>0.3135</v>
      </c>
      <c r="C715" s="176"/>
      <c r="D715" s="158"/>
      <c r="E715" s="159"/>
      <c r="F715" s="159"/>
    </row>
    <row r="716" spans="1:6" ht="9" customHeight="1">
      <c r="A716" s="183"/>
      <c r="B716" s="183"/>
      <c r="C716" s="183"/>
      <c r="D716" s="158"/>
      <c r="E716" s="158"/>
      <c r="F716" s="158"/>
    </row>
    <row r="717" spans="1:6" s="62" customFormat="1" ht="16.5" customHeight="1">
      <c r="A717" s="177" t="s">
        <v>74</v>
      </c>
      <c r="B717" s="184"/>
      <c r="C717" s="176"/>
      <c r="D717" s="158"/>
      <c r="E717" s="160"/>
      <c r="F717" s="160"/>
    </row>
    <row r="718" spans="1:6" s="5" customFormat="1" ht="12.75" customHeight="1">
      <c r="A718" s="179" t="s">
        <v>75</v>
      </c>
      <c r="B718" s="180">
        <v>0.1103</v>
      </c>
      <c r="C718" s="176"/>
      <c r="D718" s="158"/>
      <c r="E718" s="158"/>
      <c r="F718" s="158"/>
    </row>
    <row r="719" spans="1:6" s="5" customFormat="1" ht="12.75" customHeight="1">
      <c r="A719" s="179" t="s">
        <v>76</v>
      </c>
      <c r="B719" s="180">
        <v>0.0549</v>
      </c>
      <c r="C719" s="176"/>
      <c r="D719" s="158"/>
      <c r="E719" s="158"/>
      <c r="F719" s="158"/>
    </row>
    <row r="720" spans="1:6" s="15" customFormat="1" ht="12.75" customHeight="1">
      <c r="A720" s="181" t="s">
        <v>69</v>
      </c>
      <c r="B720" s="182">
        <f>SUM(B718:B719)</f>
        <v>0.16519999999999999</v>
      </c>
      <c r="C720" s="176"/>
      <c r="D720" s="162"/>
      <c r="E720" s="163"/>
      <c r="F720" s="163"/>
    </row>
    <row r="721" spans="1:6" ht="9" customHeight="1">
      <c r="A721" s="183"/>
      <c r="B721" s="183"/>
      <c r="C721" s="183"/>
      <c r="D721" s="163"/>
      <c r="E721" s="163"/>
      <c r="F721" s="163"/>
    </row>
    <row r="722" spans="1:6" s="62" customFormat="1" ht="16.5" customHeight="1">
      <c r="A722" s="177" t="s">
        <v>77</v>
      </c>
      <c r="B722" s="184"/>
      <c r="C722" s="176"/>
      <c r="D722" s="163"/>
      <c r="E722" s="163"/>
      <c r="F722" s="163"/>
    </row>
    <row r="723" spans="1:6" s="5" customFormat="1" ht="12.75" customHeight="1">
      <c r="A723" s="179" t="s">
        <v>78</v>
      </c>
      <c r="B723" s="180">
        <f>+ROUND(B715*B709,4)</f>
        <v>0.1154</v>
      </c>
      <c r="C723" s="176"/>
      <c r="D723" s="163"/>
      <c r="E723" s="163"/>
      <c r="F723" s="163"/>
    </row>
    <row r="724" spans="1:6" s="5" customFormat="1" ht="12.75" customHeight="1">
      <c r="A724" s="179" t="s">
        <v>79</v>
      </c>
      <c r="B724" s="180">
        <f>+ROUND(B702*B713,4)</f>
        <v>0.0088</v>
      </c>
      <c r="C724" s="176"/>
      <c r="D724" s="163"/>
      <c r="E724" s="163"/>
      <c r="F724" s="163"/>
    </row>
    <row r="725" spans="1:6" ht="9" customHeight="1">
      <c r="A725" s="183"/>
      <c r="B725" s="183"/>
      <c r="C725" s="183"/>
      <c r="D725" s="163"/>
      <c r="E725" s="163"/>
      <c r="F725" s="163"/>
    </row>
    <row r="726" spans="1:6" s="15" customFormat="1" ht="21.75" customHeight="1">
      <c r="A726" s="181" t="s">
        <v>80</v>
      </c>
      <c r="B726" s="182">
        <f>+B709+B715+B720+B723+B724</f>
        <v>0.9709000000000002</v>
      </c>
      <c r="C726" s="176"/>
      <c r="D726" s="163"/>
      <c r="E726" s="163"/>
      <c r="F726" s="163"/>
    </row>
    <row r="727" spans="1:6" ht="9" customHeight="1">
      <c r="A727" s="183"/>
      <c r="B727" s="183"/>
      <c r="C727" s="183"/>
      <c r="D727" s="158"/>
      <c r="E727" s="158"/>
      <c r="F727" s="158"/>
    </row>
    <row r="728" spans="1:6" s="5" customFormat="1" ht="7.5" customHeight="1">
      <c r="A728" s="183"/>
      <c r="B728" s="185"/>
      <c r="C728" s="185"/>
      <c r="D728" s="158"/>
      <c r="E728" s="158"/>
      <c r="F728" s="158"/>
    </row>
    <row r="729" spans="1:6" s="5" customFormat="1" ht="9.75" customHeight="1">
      <c r="A729" s="172"/>
      <c r="B729" s="173"/>
      <c r="C729" s="173"/>
      <c r="D729" s="158"/>
      <c r="E729" s="158"/>
      <c r="F729" s="158"/>
    </row>
    <row r="730" spans="1:6" ht="13.5" customHeight="1">
      <c r="A730" s="186" t="s">
        <v>168</v>
      </c>
      <c r="B730" s="183"/>
      <c r="C730" s="183"/>
      <c r="D730" s="158"/>
      <c r="E730" s="158"/>
      <c r="F730" s="158"/>
    </row>
    <row r="731" spans="1:6" ht="8.25" customHeight="1" thickBot="1">
      <c r="A731" s="186"/>
      <c r="B731" s="183"/>
      <c r="C731" s="183"/>
      <c r="D731" s="158"/>
      <c r="E731" s="158"/>
      <c r="F731" s="158"/>
    </row>
    <row r="732" spans="1:6" ht="13.5" customHeight="1">
      <c r="A732" s="187" t="s">
        <v>169</v>
      </c>
      <c r="B732" s="188" t="s">
        <v>170</v>
      </c>
      <c r="C732" s="189">
        <v>0.08</v>
      </c>
      <c r="D732" s="158"/>
      <c r="E732" s="158"/>
      <c r="F732" s="158"/>
    </row>
    <row r="733" spans="1:6" ht="13.5" customHeight="1">
      <c r="A733" s="190" t="s">
        <v>171</v>
      </c>
      <c r="B733" s="191" t="s">
        <v>172</v>
      </c>
      <c r="C733" s="192">
        <v>0.0025</v>
      </c>
      <c r="D733" s="164"/>
      <c r="E733" s="158"/>
      <c r="F733" s="158"/>
    </row>
    <row r="734" spans="1:6" ht="13.5" customHeight="1">
      <c r="A734" s="190" t="s">
        <v>173</v>
      </c>
      <c r="B734" s="191" t="s">
        <v>174</v>
      </c>
      <c r="C734" s="192">
        <v>0.08</v>
      </c>
      <c r="D734" s="158"/>
      <c r="E734" s="158"/>
      <c r="F734" s="158"/>
    </row>
    <row r="735" spans="1:6" ht="13.5" customHeight="1">
      <c r="A735" s="190" t="s">
        <v>175</v>
      </c>
      <c r="B735" s="191" t="s">
        <v>176</v>
      </c>
      <c r="C735" s="192">
        <v>0.05</v>
      </c>
      <c r="D735" s="158"/>
      <c r="E735" s="158"/>
      <c r="F735" s="158"/>
    </row>
    <row r="736" spans="1:6" ht="13.5" customHeight="1">
      <c r="A736" s="190" t="s">
        <v>177</v>
      </c>
      <c r="B736" s="236" t="s">
        <v>178</v>
      </c>
      <c r="C736" s="192">
        <v>0.03</v>
      </c>
      <c r="D736" s="158"/>
      <c r="E736" s="158"/>
      <c r="F736" s="158"/>
    </row>
    <row r="737" spans="1:6" ht="13.5" customHeight="1" thickBot="1">
      <c r="A737" s="193" t="s">
        <v>179</v>
      </c>
      <c r="B737" s="237"/>
      <c r="C737" s="194">
        <v>0.0365</v>
      </c>
      <c r="D737" s="158"/>
      <c r="E737" s="158"/>
      <c r="F737" s="158"/>
    </row>
    <row r="738" spans="1:6" ht="14.25" customHeight="1">
      <c r="A738" s="195" t="s">
        <v>180</v>
      </c>
      <c r="B738" s="196"/>
      <c r="C738" s="197"/>
      <c r="D738" s="158"/>
      <c r="E738" s="158"/>
      <c r="F738" s="158"/>
    </row>
    <row r="739" spans="1:6" ht="18" customHeight="1" thickBot="1">
      <c r="A739" s="198" t="s">
        <v>181</v>
      </c>
      <c r="B739" s="199"/>
      <c r="C739" s="200"/>
      <c r="D739" s="158"/>
      <c r="E739" s="158"/>
      <c r="F739" s="158"/>
    </row>
    <row r="740" spans="1:6" ht="19.5" customHeight="1" thickBot="1">
      <c r="A740" s="201" t="s">
        <v>182</v>
      </c>
      <c r="B740" s="202"/>
      <c r="C740" s="203">
        <f>ROUND((((1+C732+C733)*(1+C734)*(1+C735))/(1-(C736+C737))-1),4)</f>
        <v>0.315</v>
      </c>
      <c r="D740" s="158"/>
      <c r="E740" s="158"/>
      <c r="F740" s="158"/>
    </row>
    <row r="741" spans="1:6" ht="12.75">
      <c r="A741" s="183"/>
      <c r="B741" s="183"/>
      <c r="C741" s="183"/>
      <c r="D741" s="158"/>
      <c r="E741" s="158"/>
      <c r="F741" s="158"/>
    </row>
    <row r="742" spans="1:6" ht="12.75">
      <c r="A742" s="161"/>
      <c r="B742" s="161"/>
      <c r="C742" s="161"/>
      <c r="D742" s="158"/>
      <c r="E742" s="158"/>
      <c r="F742" s="158"/>
    </row>
    <row r="743" spans="1:6" ht="12.75">
      <c r="A743" s="161"/>
      <c r="B743" s="161"/>
      <c r="C743" s="161"/>
      <c r="D743" s="158"/>
      <c r="E743" s="158"/>
      <c r="F743" s="158"/>
    </row>
    <row r="744" spans="1:6" ht="12.75">
      <c r="A744" s="161"/>
      <c r="B744" s="161"/>
      <c r="C744" s="161"/>
      <c r="D744" s="158"/>
      <c r="E744" s="158"/>
      <c r="F744" s="158"/>
    </row>
  </sheetData>
  <sheetProtection/>
  <mergeCells count="25">
    <mergeCell ref="A5:F5"/>
    <mergeCell ref="B464:C464"/>
    <mergeCell ref="B349:C349"/>
    <mergeCell ref="B407:C407"/>
    <mergeCell ref="D16:E16"/>
    <mergeCell ref="A6:F6"/>
    <mergeCell ref="D9:E9"/>
    <mergeCell ref="D13:E13"/>
    <mergeCell ref="D10:E10"/>
    <mergeCell ref="D11:E11"/>
    <mergeCell ref="B580:C580"/>
    <mergeCell ref="A21:D21"/>
    <mergeCell ref="B736:B737"/>
    <mergeCell ref="D14:E14"/>
    <mergeCell ref="B613:C613"/>
    <mergeCell ref="B637:C637"/>
    <mergeCell ref="A41:D41"/>
    <mergeCell ref="A694:C694"/>
    <mergeCell ref="A688:E688"/>
    <mergeCell ref="D12:E12"/>
    <mergeCell ref="B521:C521"/>
    <mergeCell ref="D15:E15"/>
    <mergeCell ref="A11:C11"/>
    <mergeCell ref="A360:D361"/>
    <mergeCell ref="A267:E26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 de &amp;N</oddFooter>
  </headerFooter>
  <ignoredErrors>
    <ignoredError sqref="E86 E345 E2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8.7109375" style="0" bestFit="1" customWidth="1"/>
    <col min="2" max="2" width="39.57421875" style="0" bestFit="1" customWidth="1"/>
    <col min="3" max="3" width="8.00390625" style="0" bestFit="1" customWidth="1"/>
  </cols>
  <sheetData>
    <row r="1" spans="1:3" ht="12.75">
      <c r="A1" s="15" t="s">
        <v>264</v>
      </c>
      <c r="B1" s="1"/>
      <c r="C1" s="1"/>
    </row>
    <row r="2" spans="1:3" ht="12.75">
      <c r="A2" s="207" t="s">
        <v>265</v>
      </c>
      <c r="B2" s="1"/>
      <c r="C2" s="1"/>
    </row>
    <row r="3" spans="1:3" ht="12.75">
      <c r="A3" s="13"/>
      <c r="B3" s="207"/>
      <c r="C3" s="207"/>
    </row>
    <row r="4" spans="1:3" ht="13.5" thickBot="1">
      <c r="A4" s="1"/>
      <c r="B4" s="1"/>
      <c r="C4" s="1"/>
    </row>
    <row r="5" spans="1:3" ht="18">
      <c r="A5" s="248" t="s">
        <v>266</v>
      </c>
      <c r="B5" s="249"/>
      <c r="C5" s="250"/>
    </row>
    <row r="6" spans="1:3" ht="14.25">
      <c r="A6" s="208" t="s">
        <v>267</v>
      </c>
      <c r="B6" s="209" t="s">
        <v>268</v>
      </c>
      <c r="C6" s="210" t="s">
        <v>269</v>
      </c>
    </row>
    <row r="7" spans="1:3" ht="14.25">
      <c r="A7" s="208" t="s">
        <v>270</v>
      </c>
      <c r="B7" s="209" t="s">
        <v>61</v>
      </c>
      <c r="C7" s="211">
        <v>0.2</v>
      </c>
    </row>
    <row r="8" spans="1:3" ht="14.25">
      <c r="A8" s="208" t="s">
        <v>271</v>
      </c>
      <c r="B8" s="209" t="s">
        <v>272</v>
      </c>
      <c r="C8" s="212">
        <v>0.015</v>
      </c>
    </row>
    <row r="9" spans="1:3" ht="14.25">
      <c r="A9" s="208" t="s">
        <v>273</v>
      </c>
      <c r="B9" s="209" t="s">
        <v>274</v>
      </c>
      <c r="C9" s="212">
        <v>0.01</v>
      </c>
    </row>
    <row r="10" spans="1:3" ht="14.25">
      <c r="A10" s="208" t="s">
        <v>275</v>
      </c>
      <c r="B10" s="209" t="s">
        <v>276</v>
      </c>
      <c r="C10" s="212">
        <v>0.002</v>
      </c>
    </row>
    <row r="11" spans="1:3" ht="14.25">
      <c r="A11" s="208" t="s">
        <v>277</v>
      </c>
      <c r="B11" s="209" t="s">
        <v>278</v>
      </c>
      <c r="C11" s="212">
        <v>0.006</v>
      </c>
    </row>
    <row r="12" spans="1:3" ht="14.25">
      <c r="A12" s="208" t="s">
        <v>279</v>
      </c>
      <c r="B12" s="209" t="s">
        <v>280</v>
      </c>
      <c r="C12" s="212">
        <v>0.025</v>
      </c>
    </row>
    <row r="13" spans="1:3" ht="14.25">
      <c r="A13" s="208" t="s">
        <v>281</v>
      </c>
      <c r="B13" s="209" t="s">
        <v>282</v>
      </c>
      <c r="C13" s="212">
        <v>0.03</v>
      </c>
    </row>
    <row r="14" spans="1:3" ht="14.25">
      <c r="A14" s="208" t="s">
        <v>283</v>
      </c>
      <c r="B14" s="209" t="s">
        <v>62</v>
      </c>
      <c r="C14" s="212">
        <v>0.08</v>
      </c>
    </row>
    <row r="15" spans="1:3" ht="15">
      <c r="A15" s="208" t="s">
        <v>284</v>
      </c>
      <c r="B15" s="213" t="s">
        <v>285</v>
      </c>
      <c r="C15" s="214">
        <f>SUM(C7:C14)</f>
        <v>0.36800000000000005</v>
      </c>
    </row>
    <row r="16" spans="1:3" ht="15">
      <c r="A16" s="215"/>
      <c r="B16" s="216"/>
      <c r="C16" s="217"/>
    </row>
    <row r="17" spans="1:3" ht="14.25">
      <c r="A17" s="208" t="s">
        <v>286</v>
      </c>
      <c r="B17" s="218" t="s">
        <v>287</v>
      </c>
      <c r="C17" s="212">
        <v>0.0111</v>
      </c>
    </row>
    <row r="18" spans="1:3" ht="14.25">
      <c r="A18" s="208" t="s">
        <v>288</v>
      </c>
      <c r="B18" s="218" t="s">
        <v>289</v>
      </c>
      <c r="C18" s="212">
        <f>ROUND('[1]3.CAGED'!C36/'[1]3.CAGED'!C33,4)</f>
        <v>0.0833</v>
      </c>
    </row>
    <row r="19" spans="1:3" ht="14.25">
      <c r="A19" s="208" t="s">
        <v>290</v>
      </c>
      <c r="B19" s="218" t="s">
        <v>291</v>
      </c>
      <c r="C19" s="212">
        <v>0.0006</v>
      </c>
    </row>
    <row r="20" spans="1:3" ht="14.25">
      <c r="A20" s="208" t="s">
        <v>292</v>
      </c>
      <c r="B20" s="218" t="s">
        <v>293</v>
      </c>
      <c r="C20" s="212">
        <v>0.0082</v>
      </c>
    </row>
    <row r="21" spans="1:3" ht="14.25">
      <c r="A21" s="208" t="s">
        <v>294</v>
      </c>
      <c r="B21" s="218" t="s">
        <v>295</v>
      </c>
      <c r="C21" s="212">
        <v>0.0031</v>
      </c>
    </row>
    <row r="22" spans="1:3" ht="14.25">
      <c r="A22" s="208" t="s">
        <v>296</v>
      </c>
      <c r="B22" s="218" t="s">
        <v>297</v>
      </c>
      <c r="C22" s="212">
        <v>0.0166</v>
      </c>
    </row>
    <row r="23" spans="1:3" ht="15">
      <c r="A23" s="208" t="s">
        <v>298</v>
      </c>
      <c r="B23" s="213" t="s">
        <v>299</v>
      </c>
      <c r="C23" s="214">
        <f>SUM(C17:C22)</f>
        <v>0.12290000000000001</v>
      </c>
    </row>
    <row r="24" spans="1:3" ht="15">
      <c r="A24" s="215"/>
      <c r="B24" s="216"/>
      <c r="C24" s="217"/>
    </row>
    <row r="25" spans="1:3" ht="14.25">
      <c r="A25" s="208" t="s">
        <v>300</v>
      </c>
      <c r="B25" s="209" t="s">
        <v>301</v>
      </c>
      <c r="C25" s="212">
        <f>ROUND(('[1]3.CAGED'!C37)*'[1]3.CAGED'!C30/'[1]3.CAGED'!C33,4)</f>
        <v>0.029</v>
      </c>
    </row>
    <row r="26" spans="1:3" ht="14.25">
      <c r="A26" s="208" t="s">
        <v>302</v>
      </c>
      <c r="B26" s="209" t="s">
        <v>303</v>
      </c>
      <c r="C26" s="212">
        <f>ROUND(IF('[1]3.CAGED'!C32&gt;12,12/'[1]3.CAGED'!C32*0.1111,0.1111),4)</f>
        <v>0.0454</v>
      </c>
    </row>
    <row r="27" spans="1:3" ht="14.25">
      <c r="A27" s="208" t="s">
        <v>304</v>
      </c>
      <c r="B27" s="209" t="s">
        <v>305</v>
      </c>
      <c r="C27" s="212">
        <f>C25*C26</f>
        <v>0.0013166000000000002</v>
      </c>
    </row>
    <row r="28" spans="1:3" ht="14.25">
      <c r="A28" s="208" t="s">
        <v>306</v>
      </c>
      <c r="B28" s="209" t="s">
        <v>307</v>
      </c>
      <c r="C28" s="212">
        <f>ROUND(('[1]3.CAGED'!C33+'[1]3.CAGED'!C34+'[1]3.CAGED'!C36)/'[1]3.CAGED'!C31*'[1]3.CAGED'!C38*'[1]3.CAGED'!C39*'[1]3.CAGED'!C30/'[1]3.CAGED'!C33,4)</f>
        <v>0.0315</v>
      </c>
    </row>
    <row r="29" spans="1:3" ht="14.25">
      <c r="A29" s="208" t="s">
        <v>308</v>
      </c>
      <c r="B29" s="209" t="s">
        <v>309</v>
      </c>
      <c r="C29" s="212">
        <f>ROUND(('[1]3.CAGED'!C35/'[1]3.CAGED'!C33)*'[1]3.CAGED'!C30/12,4)</f>
        <v>0.002</v>
      </c>
    </row>
    <row r="30" spans="1:3" ht="15">
      <c r="A30" s="208" t="s">
        <v>310</v>
      </c>
      <c r="B30" s="213" t="s">
        <v>311</v>
      </c>
      <c r="C30" s="214">
        <f>SUM(C25:C29)</f>
        <v>0.10921660000000001</v>
      </c>
    </row>
    <row r="31" spans="1:3" ht="15">
      <c r="A31" s="215"/>
      <c r="B31" s="216"/>
      <c r="C31" s="217"/>
    </row>
    <row r="32" spans="1:3" ht="14.25">
      <c r="A32" s="208" t="s">
        <v>312</v>
      </c>
      <c r="B32" s="209" t="s">
        <v>313</v>
      </c>
      <c r="C32" s="212">
        <f>ROUND(C15*C23,4)</f>
        <v>0.0452</v>
      </c>
    </row>
    <row r="33" spans="1:3" ht="28.5">
      <c r="A33" s="208" t="s">
        <v>314</v>
      </c>
      <c r="B33" s="219" t="s">
        <v>315</v>
      </c>
      <c r="C33" s="212">
        <f>ROUND((C25*C14),4)</f>
        <v>0.0023</v>
      </c>
    </row>
    <row r="34" spans="1:3" ht="15">
      <c r="A34" s="208" t="s">
        <v>316</v>
      </c>
      <c r="B34" s="213" t="s">
        <v>317</v>
      </c>
      <c r="C34" s="214">
        <f>SUM(C32:C33)</f>
        <v>0.0475</v>
      </c>
    </row>
    <row r="35" spans="1:3" ht="15.75" thickBot="1">
      <c r="A35" s="220"/>
      <c r="B35" s="221" t="s">
        <v>318</v>
      </c>
      <c r="C35" s="222">
        <f>C34+C30+C23+C15</f>
        <v>0.6476166000000001</v>
      </c>
    </row>
  </sheetData>
  <sheetProtection/>
  <mergeCells count="1">
    <mergeCell ref="A5:C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Usuario</dc:creator>
  <cp:keywords/>
  <dc:description/>
  <cp:lastModifiedBy>Windows User</cp:lastModifiedBy>
  <cp:lastPrinted>2018-06-19T17:09:39Z</cp:lastPrinted>
  <dcterms:created xsi:type="dcterms:W3CDTF">2000-12-13T10:02:50Z</dcterms:created>
  <dcterms:modified xsi:type="dcterms:W3CDTF">2022-08-09T13:13:00Z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-277214568</vt:i4>
  </property>
  <property fmtid="{D5CDD505-2E9C-101B-9397-08002B2CF9AE}" pid="3" name="_EmailSubject">
    <vt:lpwstr> Planilha</vt:lpwstr>
  </property>
  <property fmtid="{D5CDD505-2E9C-101B-9397-08002B2CF9AE}" pid="4" name="_AuthorEmail">
    <vt:lpwstr>comissaolimpezaurbana@smf.prefpoa.com.br</vt:lpwstr>
  </property>
  <property fmtid="{D5CDD505-2E9C-101B-9397-08002B2CF9AE}" pid="5" name="_AuthorEmailDisplayName">
    <vt:lpwstr>_SMF - Comissão Limpeza Urbana</vt:lpwstr>
  </property>
  <property fmtid="{D5CDD505-2E9C-101B-9397-08002B2CF9AE}" pid="6" name="_ReviewingToolsShownOnce">
    <vt:lpwstr/>
  </property>
</Properties>
</file>