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BADESUL\medições\CENTRO ADM 2021\"/>
    </mc:Choice>
  </mc:AlternateContent>
  <bookViews>
    <workbookView xWindow="0" yWindow="0" windowWidth="28800" windowHeight="13020"/>
  </bookViews>
  <sheets>
    <sheet name="ORÇAMENTO" sheetId="1" r:id="rId1"/>
    <sheet name="COMPOSIÇÕES" sheetId="4" r:id="rId2"/>
    <sheet name="CRONOGRAMA" sheetId="2" r:id="rId3"/>
    <sheet name="BDI" sheetId="3" r:id="rId4"/>
  </sheets>
  <definedNames>
    <definedName name="_xlnm.Print_Area" localSheetId="3">BDI!$D$5:$O$46</definedName>
    <definedName name="_xlnm.Print_Area" localSheetId="0">ORÇAMENTO!$A$1:$G$137</definedName>
    <definedName name="_xlnm.Print_Titles" localSheetId="0">ORÇAMENTO!$A:$G,ORÇAMENTO!$1:$8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126" i="1"/>
  <c r="G34" i="1"/>
  <c r="F18" i="1"/>
  <c r="G18" i="1" s="1"/>
  <c r="F40" i="1"/>
  <c r="G40" i="1" s="1"/>
  <c r="F39" i="1"/>
  <c r="G39" i="1" s="1"/>
  <c r="F38" i="1"/>
  <c r="F37" i="1"/>
  <c r="G37" i="1" s="1"/>
  <c r="F45" i="1"/>
  <c r="G45" i="1" s="1"/>
  <c r="F52" i="1"/>
  <c r="G52" i="1" s="1"/>
  <c r="F27" i="1"/>
  <c r="G27" i="1" s="1"/>
  <c r="F26" i="1"/>
  <c r="G26" i="1" s="1"/>
  <c r="F25" i="1"/>
  <c r="G25" i="1" s="1"/>
  <c r="F105" i="1"/>
  <c r="G105" i="1" s="1"/>
  <c r="F119" i="1"/>
  <c r="G119" i="1" s="1"/>
  <c r="G42" i="1" l="1"/>
  <c r="A14" i="2"/>
  <c r="A13" i="2"/>
  <c r="A12" i="2"/>
  <c r="A11" i="2"/>
  <c r="A10" i="2"/>
  <c r="A9" i="2"/>
  <c r="A7" i="2"/>
  <c r="A6" i="2"/>
  <c r="A5" i="2"/>
  <c r="F112" i="1"/>
  <c r="G112" i="1" s="1"/>
  <c r="K18" i="4"/>
  <c r="K17" i="4"/>
  <c r="K16" i="4"/>
  <c r="K14" i="4"/>
  <c r="K7" i="4"/>
  <c r="K6" i="4"/>
  <c r="K5" i="4"/>
  <c r="K4" i="4"/>
  <c r="F69" i="1"/>
  <c r="G69" i="1" s="1"/>
  <c r="F68" i="1"/>
  <c r="G68" i="1" s="1"/>
  <c r="F67" i="1"/>
  <c r="G67" i="1" s="1"/>
  <c r="F70" i="1"/>
  <c r="G70" i="1" s="1"/>
  <c r="F71" i="1"/>
  <c r="G71" i="1" s="1"/>
  <c r="F72" i="1"/>
  <c r="G72" i="1" s="1"/>
  <c r="K9" i="4" l="1"/>
  <c r="K10" i="4"/>
  <c r="K21" i="4"/>
  <c r="F113" i="1" l="1"/>
  <c r="G113" i="1" s="1"/>
  <c r="F64" i="1"/>
  <c r="G64" i="1" s="1"/>
  <c r="F124" i="1"/>
  <c r="G124" i="1" s="1"/>
  <c r="F123" i="1"/>
  <c r="G123" i="1" s="1"/>
  <c r="F86" i="1"/>
  <c r="G86" i="1" s="1"/>
  <c r="F63" i="1"/>
  <c r="G63" i="1" s="1"/>
  <c r="F36" i="1" l="1"/>
  <c r="G36" i="1" s="1"/>
  <c r="F12" i="1"/>
  <c r="G12" i="1" s="1"/>
  <c r="F125" i="1"/>
  <c r="G125" i="1" s="1"/>
  <c r="F121" i="1"/>
  <c r="G121" i="1" s="1"/>
  <c r="F104" i="1"/>
  <c r="G104" i="1" s="1"/>
  <c r="F103" i="1"/>
  <c r="G103" i="1" s="1"/>
  <c r="F102" i="1"/>
  <c r="G102" i="1" s="1"/>
  <c r="F108" i="1"/>
  <c r="G108" i="1" s="1"/>
  <c r="F109" i="1"/>
  <c r="G109" i="1" s="1"/>
  <c r="E7" i="2" l="1"/>
  <c r="F111" i="1"/>
  <c r="G111" i="1" s="1"/>
  <c r="F79" i="1"/>
  <c r="G79" i="1" s="1"/>
  <c r="F129" i="1"/>
  <c r="G129" i="1" s="1"/>
  <c r="M13" i="2" s="1"/>
  <c r="O13" i="2" s="1"/>
  <c r="I7" i="2" l="1"/>
  <c r="G7" i="2"/>
  <c r="F11" i="1"/>
  <c r="G11" i="1" s="1"/>
  <c r="O7" i="2" l="1"/>
  <c r="F114" i="1"/>
  <c r="G114" i="1" s="1"/>
  <c r="F93" i="1"/>
  <c r="G93" i="1" s="1"/>
  <c r="F51" i="1"/>
  <c r="G51" i="1" s="1"/>
  <c r="F53" i="1"/>
  <c r="G53" i="1" s="1"/>
  <c r="F49" i="1"/>
  <c r="G49" i="1" s="1"/>
  <c r="F50" i="1"/>
  <c r="G50" i="1" s="1"/>
  <c r="F46" i="1"/>
  <c r="G46" i="1" s="1"/>
  <c r="F47" i="1"/>
  <c r="G47" i="1" s="1"/>
  <c r="F57" i="1" l="1"/>
  <c r="G57" i="1" s="1"/>
  <c r="F32" i="1"/>
  <c r="G32" i="1" s="1"/>
  <c r="F20" i="1"/>
  <c r="G20" i="1" s="1"/>
  <c r="F21" i="1"/>
  <c r="G21" i="1" s="1"/>
  <c r="F19" i="1"/>
  <c r="G19" i="1" s="1"/>
  <c r="F17" i="1"/>
  <c r="G17" i="1" s="1"/>
  <c r="F33" i="1"/>
  <c r="G33" i="1" s="1"/>
  <c r="F31" i="1"/>
  <c r="G31" i="1" s="1"/>
  <c r="F30" i="1"/>
  <c r="G30" i="1" s="1"/>
  <c r="F29" i="1"/>
  <c r="G29" i="1" s="1"/>
  <c r="F28" i="1"/>
  <c r="G28" i="1" s="1"/>
  <c r="F99" i="1" l="1"/>
  <c r="G99" i="1" s="1"/>
  <c r="F80" i="1" l="1"/>
  <c r="G80" i="1" s="1"/>
  <c r="F22" i="1" l="1"/>
  <c r="G22" i="1" s="1"/>
  <c r="E6" i="2" l="1"/>
  <c r="D7" i="3"/>
  <c r="D6" i="3"/>
  <c r="D5" i="3"/>
  <c r="M6" i="2" l="1"/>
  <c r="K6" i="2"/>
  <c r="O6" i="2" s="1"/>
  <c r="I6" i="2"/>
  <c r="G6" i="2"/>
  <c r="F37" i="3"/>
  <c r="H24" i="3"/>
  <c r="F38" i="3" s="1"/>
  <c r="F122" i="1" l="1"/>
  <c r="G122" i="1" s="1"/>
  <c r="F120" i="1"/>
  <c r="G120" i="1" s="1"/>
  <c r="F131" i="1"/>
  <c r="G131" i="1" s="1"/>
  <c r="I12" i="2" l="1"/>
  <c r="G132" i="1"/>
  <c r="K12" i="2" l="1"/>
  <c r="M12" i="2"/>
  <c r="M14" i="2"/>
  <c r="O14" i="2" s="1"/>
  <c r="F115" i="1"/>
  <c r="G115" i="1" s="1"/>
  <c r="O12" i="2" l="1"/>
  <c r="F110" i="1"/>
  <c r="G110" i="1" s="1"/>
  <c r="F98" i="1" l="1"/>
  <c r="G98" i="1" s="1"/>
  <c r="F95" i="1"/>
  <c r="G95" i="1" s="1"/>
  <c r="F94" i="1"/>
  <c r="G94" i="1" s="1"/>
  <c r="F92" i="1"/>
  <c r="G92" i="1" s="1"/>
  <c r="F89" i="1"/>
  <c r="G89" i="1" s="1"/>
  <c r="G116" i="1" l="1"/>
  <c r="K11" i="2" s="1"/>
  <c r="K15" i="2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66" i="1"/>
  <c r="G66" i="1" s="1"/>
  <c r="G11" i="2" l="1"/>
  <c r="M11" i="2"/>
  <c r="E11" i="2"/>
  <c r="I11" i="2"/>
  <c r="G81" i="1"/>
  <c r="F58" i="1"/>
  <c r="G58" i="1" s="1"/>
  <c r="F48" i="1"/>
  <c r="G48" i="1" s="1"/>
  <c r="G54" i="1" s="1"/>
  <c r="F13" i="1"/>
  <c r="G13" i="1" s="1"/>
  <c r="E10" i="2" l="1"/>
  <c r="G14" i="1"/>
  <c r="I5" i="2" s="1"/>
  <c r="I15" i="2" s="1"/>
  <c r="O11" i="2"/>
  <c r="G10" i="2"/>
  <c r="O10" i="2" s="1"/>
  <c r="M8" i="2"/>
  <c r="O8" i="2" s="1"/>
  <c r="G59" i="1"/>
  <c r="G134" i="1" l="1"/>
  <c r="E5" i="1" s="1"/>
  <c r="G5" i="2"/>
  <c r="E5" i="2"/>
  <c r="G9" i="2"/>
  <c r="E9" i="2"/>
  <c r="M15" i="2"/>
  <c r="G15" i="2" l="1"/>
  <c r="O5" i="2"/>
  <c r="O9" i="2"/>
  <c r="E15" i="2"/>
  <c r="O15" i="2" l="1"/>
  <c r="H15" i="2" s="1"/>
  <c r="E16" i="2"/>
  <c r="G16" i="2" s="1"/>
  <c r="I16" i="2" s="1"/>
  <c r="K16" i="2" s="1"/>
  <c r="M16" i="2" s="1"/>
  <c r="L15" i="2" l="1"/>
  <c r="F15" i="2"/>
  <c r="F16" i="2" s="1"/>
  <c r="H16" i="2" s="1"/>
  <c r="J15" i="2"/>
  <c r="N15" i="2"/>
  <c r="J16" i="2" l="1"/>
  <c r="L16" i="2" s="1"/>
  <c r="N16" i="2" s="1"/>
</calcChain>
</file>

<file path=xl/sharedStrings.xml><?xml version="1.0" encoding="utf-8"?>
<sst xmlns="http://schemas.openxmlformats.org/spreadsheetml/2006/main" count="441" uniqueCount="228">
  <si>
    <t>ORÇAMENTO DE SERVIÇOS E MATERIAIS</t>
  </si>
  <si>
    <t>CÓD.</t>
  </si>
  <si>
    <t>DESCRIÇÃO DO SERVIÇO</t>
  </si>
  <si>
    <t>QTD.</t>
  </si>
  <si>
    <t>UNID.</t>
  </si>
  <si>
    <t>PREÇO TOTAL</t>
  </si>
  <si>
    <t>PREÇO UNITÁRIO SEM BDI</t>
  </si>
  <si>
    <t>PREÇO UNITÁRIO COM BDI</t>
  </si>
  <si>
    <t>M2</t>
  </si>
  <si>
    <t>BDI:</t>
  </si>
  <si>
    <t>TOTAL</t>
  </si>
  <si>
    <t>PROPRIETÁRIO –  MUNICÍPIO DE PAULO BENTO - RS</t>
  </si>
  <si>
    <t>TOTAL DO ITEM</t>
  </si>
  <si>
    <t>M</t>
  </si>
  <si>
    <t>SEINFRA</t>
  </si>
  <si>
    <t>MERCADO</t>
  </si>
  <si>
    <t>7.1</t>
  </si>
  <si>
    <t>PORTAS</t>
  </si>
  <si>
    <t>7.2</t>
  </si>
  <si>
    <t>JANELAS</t>
  </si>
  <si>
    <t>7.3</t>
  </si>
  <si>
    <t>PEÇAS DE APOIO DEFICIENTES C/TUBO INOX P/WC'S (PNE) L=60CM</t>
  </si>
  <si>
    <t>CAIXA DE INSPEÇÃO EM ALVENARIA DE TIJOLO MACIÇO 60X60X60CM, REVESTIDA INTERNAMENTO COM BARRA LISA (CIMENTO E AREIA, TRAÇO 1:4) E=2,0CM, COM TAMPA PRÉ-MOLDADA DE CONCRETO E FUNDO DE CONCRETO 15MPA - ESCAVAÇÃO E CONFECÇÃO</t>
  </si>
  <si>
    <t>74104/1</t>
  </si>
  <si>
    <t>SABONETEIRA PLASTICA TIPO DISPENSER PARA SABONETE LIQUIDO COM RESERVATÓRIO 800 A 1500 ML, INCL. FIXAÇÃO</t>
  </si>
  <si>
    <t>PAPELEIRA DE PAREDE EM METAL CROMADO SEM TAMPA, INCLUSO FIXAÇÃO</t>
  </si>
  <si>
    <t>PORTA TOALHA ROSTO EM METAL CROMADO, TIPO ARGOLA, INCLUSO FIXAÇÃO</t>
  </si>
  <si>
    <t>CHUVEIRO ELETRICO COMUM CORPO PLASTICO TIPO DUCHA, FORNECIMENTO E INSTALAÇÃO</t>
  </si>
  <si>
    <t>TORNEIRA CROMADA TUBO MÓVEL, DE MESA, 1/2" OU 3/4", PARA PIA DE COZINHA, PADRÃO ALTO - FORN. E INST.</t>
  </si>
  <si>
    <t>TUBULAÇÕES E CONEXÕES PVC, LOUÇAS, ACESSÓRIOS E METAIS</t>
  </si>
  <si>
    <t>QUADRO DE DISTRIBUICAO DE ENERGIA EM CHAPA DE ACO GALVANIZADO, PARA 12 DISJUNTORES TERMOMAGNETICOS MONOPOLARES, COM BARRAMENTO TRIFASICO E NEUTRO - FORNECIMENTO E INSTALAÇÃO</t>
  </si>
  <si>
    <t>QUADRO DE DISTRIBUIÇÃO</t>
  </si>
  <si>
    <t>DISJUNTORES</t>
  </si>
  <si>
    <t>DISJUNTOR TERMOMAGNETICO MONOPOLAR PADRAO NEMA (AMERICANO) 10 A 30A 240V - FORNECIMENTO E INSTALAÇÃO</t>
  </si>
  <si>
    <t>DISJUNTOR TERMOMAGNETICO TRIPOLAR PADRAO NEMA (AMERICANO) 10 A 50A 240V - FORNECIMENTO E INSTALACAO</t>
  </si>
  <si>
    <t>DISJUNTOR TERMOMAGNETICO TRIPOLAR PADRAO NEMA (AMERICANO) 60 A 100A 240V - FORNECIMENTO E INSTALAÇÃO</t>
  </si>
  <si>
    <t>ELETRODUTOS E ACESSÓRIOS</t>
  </si>
  <si>
    <t>ELETRODUTO FLEXÍVEL CORRUGADO, PVC, DN 25 MM, PARA CIRCUITOS TERMINAIS- FORNECIMENTO E INSTALAÇÃO</t>
  </si>
  <si>
    <t>ELETRODUTO FLEXÍVEL CORRUGADO, PVC, DN 32 MM, PARA CIRCUITOS TERMINAIS- FORNECIMENTO E INSTALAÇÃO</t>
  </si>
  <si>
    <t>CABOS E FIOS CONDUTORES</t>
  </si>
  <si>
    <t>ILUMINAÇÃO, TOMADAS E INTERRUPTORES</t>
  </si>
  <si>
    <t>TOMADA MÉDIA DE EMBUTIR (1 MÓDULO), 2P+T 20 A, INCLUINDO SUPORTE E PLACA-FORNECIMENTO E INSTALAÇÃO</t>
  </si>
  <si>
    <t>INTERRUPTOR SIMPLES (1 MÓDULO), 10A/250V, INCLUINDO SUPORTE E PLACA - FORNECIMENTO E INSTALAÇÃO</t>
  </si>
  <si>
    <t>INTERRUPTOR SIMPLES (1 MÓDULO) COM 1 TOMADA DE EMBUTIR 2P+T 10 A, INCLUINDO SUPORTE E PLACA - FORNECIMENTO E INSTALAÇÃO</t>
  </si>
  <si>
    <t>APLICAÇÃO MANUAL DE PINTURA COM TINTA LÁTEX ACRÍLICA EM PAREDES, DUAS DEMÃOS</t>
  </si>
  <si>
    <t>LIMPEZA FINAL DA OBRA</t>
  </si>
  <si>
    <t>APLICAÇÃO DE FUNDO SELADOR LÁTEX PVA EM PAREDE/TETO, UMA DEMÃO</t>
  </si>
  <si>
    <t>TOTAL DO ORÇAMENTO</t>
  </si>
  <si>
    <t>R$/m2:</t>
  </si>
  <si>
    <t>DESCRIÇÃO</t>
  </si>
  <si>
    <t>30 DIAS</t>
  </si>
  <si>
    <t>60 DIAS</t>
  </si>
  <si>
    <t>90 DIAS</t>
  </si>
  <si>
    <t>120  DIAS</t>
  </si>
  <si>
    <t>150 DIAS</t>
  </si>
  <si>
    <t>-</t>
  </si>
  <si>
    <t xml:space="preserve">TOTAL </t>
  </si>
  <si>
    <t>TOTAL ACUMULADO</t>
  </si>
  <si>
    <t>CÁLCULO DO BDI</t>
  </si>
  <si>
    <t>OBRA:</t>
  </si>
  <si>
    <t>VALORES ADOTADOS:</t>
  </si>
  <si>
    <t>A</t>
  </si>
  <si>
    <t>ADMINISTRAÇÃO CENTRAL</t>
  </si>
  <si>
    <t>%</t>
  </si>
  <si>
    <t>B</t>
  </si>
  <si>
    <t>DESPESAS FINANCEIRAS</t>
  </si>
  <si>
    <t>C</t>
  </si>
  <si>
    <t>SEGUROS E GARANTIAS</t>
  </si>
  <si>
    <t>ISS (PMNF)</t>
  </si>
  <si>
    <t>D</t>
  </si>
  <si>
    <t>PIS</t>
  </si>
  <si>
    <t>COFINS</t>
  </si>
  <si>
    <t xml:space="preserve">TOTAL "C" = </t>
  </si>
  <si>
    <t>E</t>
  </si>
  <si>
    <t>LUCRO</t>
  </si>
  <si>
    <t>FÓRMULA DE CÁLCULO:</t>
  </si>
  <si>
    <t xml:space="preserve">BDI = </t>
  </si>
  <si>
    <t>( 1 + A ) x ( 1 + B ) x ( 1 + C ) x ( 1 + E)</t>
  </si>
  <si>
    <t xml:space="preserve"> -</t>
  </si>
  <si>
    <t>x</t>
  </si>
  <si>
    <t>( 1 - D)</t>
  </si>
  <si>
    <t>CÁLCULO:</t>
  </si>
  <si>
    <t>BDI =</t>
  </si>
  <si>
    <t xml:space="preserve"> =</t>
  </si>
  <si>
    <t>O VALOR DO BDI ADOTADO É DE :</t>
  </si>
  <si>
    <r>
      <t xml:space="preserve">Os cálculos estão em conformidade ao </t>
    </r>
    <r>
      <rPr>
        <b/>
        <sz val="10"/>
        <color indexed="8"/>
        <rFont val="Times New Roman"/>
        <family val="1"/>
      </rPr>
      <t>" ACORDÃO Nº 2369/2011 - TCU - PLENÁRIO "</t>
    </r>
  </si>
  <si>
    <t>KIT DE PORTA DE MADEIRA PARA PINTURA, SEMI-OCA (LEVE OU MÉDIA), PADRÃO MÉDIO, 90X210 CM, ESPESSURA DE 3,5 CM, ITENS INCLUSOS: DOBRADIÇAS, MONTAGEM E INSTALAÇÃO DO BATENTE, SEM FECHADURA - FORNECIMENTO E INSTALAÇÃO AF 08/2015</t>
  </si>
  <si>
    <t>FECHADURA DE EMBUTIR PARA PORTA DE BANHEIRO, COMPLETA, ACABAMENTO PADRÃO MÉDIO, INCLUSO EXECUÇÃO DO FURO - FORNECIMENTO E INSTALAÇÃO AF 08/2</t>
  </si>
  <si>
    <t>TORNEIRA PLÁSTICA 3/4 PARA TANQUE - FORNECIMENTO E INSTALAÇÃO</t>
  </si>
  <si>
    <t>JANELA MAXIM-AR 01 FOLHA COM 1133 (40MM ENTRE FUROS) E HASTE 1587, COM PERFIL EM ALUMINIO PRETO E VIDRO TEMPERADO FUMÊ 8 MM 800X600MM</t>
  </si>
  <si>
    <t>JANELA MAXIM-AR 01 FOLHA COM 1133 (40MM ENTRE FUROS) E HASTE 1587, COM PERFIL EM ALUMINIO PRETO E VIDRO TEMPERADO FUMÊ 8 MM 600X600MM</t>
  </si>
  <si>
    <t>JANELA DE CORRER 02 FOLHAS COM PERFIL EM ALUMINIO PRETO, FIXAÇÃO COM PARAFUSO, VEDAÇÃO COM ESPUMA EXPANSIVA PU, COM VIDROS TEMPERADOS FUMÊ 8MM (1600X600MM)</t>
  </si>
  <si>
    <t>JANELA DE CORRER 02 FOLHAS COM PERFIL EM ALUMINIO PRETO, FIXAÇÃO COM PARAFUSO, VEDAÇÃO COM ESPUMA EXPANSIVA PU, COM VIDROS TEMPERADOS FUMÊ 8MM (2000X600MM)</t>
  </si>
  <si>
    <t>PORTA DE ABRIR/PIVOTANTE 01 FOLHA, BANDEIRA FIXA, PERFIL PRETO E VIDRO TEMPERADO FUMÊ 8MM (1000X2600)MM</t>
  </si>
  <si>
    <t>PORTA DE ABRIR/PIVOTANTE 02 FOLHAS COM TRAVA 1520 PISO, COM PERFIL DE ALUMINIO PRETO E VIDRO TEMPERADO FUMÊ 8 MM (2000X2600MM)</t>
  </si>
  <si>
    <t>FORRO EM DRYWALL. PARA AMBIENTES COMERCIAIS, INCLUSIVE ESTRUTURA DE FIXAÇÃO</t>
  </si>
  <si>
    <t xml:space="preserve"> ESCADA TIPO MARINHEIRO EM TUBO AÇO GALVANIZADO 1 1/2 5 DEGRAUS</t>
  </si>
  <si>
    <t>74194/001</t>
  </si>
  <si>
    <t>PLACA DE SINALIZAÇÃO DE SEGURANÇA CONTRA INCENDIO, FOTOLUMINESCENTE QUADRADA, 14X14 CM, EM PVC *2* MM ANTI-CHAMAS</t>
  </si>
  <si>
    <t>UM</t>
  </si>
  <si>
    <t>UN</t>
  </si>
  <si>
    <t>PLACA DE SINALIZAÇÃO DE SEGURANÇA CONTRA INCENDIO, FOTOLUMINESCENTE QUADRADA, 13X26 CM, EM PVC *2* MM ANTI-CHAMAS</t>
  </si>
  <si>
    <t>EXTINTOR DE PQS 4KG - FORNECIMENTO E INSTALAÇÃO</t>
  </si>
  <si>
    <t>LUMINARIA DE EMERGÊNCIA 30 LEDS, POTENCIA 2W, BATERIA DE LITIO, AUTONOMIA DE 6 HORAS</t>
  </si>
  <si>
    <t>DISJUNTOR TERMOMAGNETICO MONOPOLAR PADRAO NEMA (AMERICANO) 35 a 50A 240V - FORNECIMENTO E INSTALAÇÃO</t>
  </si>
  <si>
    <t>PAINEL FIXO 01 FOLHA COM PERFIL PRETO E VIDRO TEMPERADO FUMÊ 8MM (1000x2600MM)</t>
  </si>
  <si>
    <t>M²</t>
  </si>
  <si>
    <t xml:space="preserve">LAVATÓRIO LOUÇA BRANCA SUSPENSO, 29,5 X 39CM OU EQUIVALENTE, PADRÃO POPULA UN CR 0,0522000 187,82 9,80
R, INCLUSO SIFÃO FLEXÍVEL EM PVC, VÁLVULA E ENGATE FLEXÍVEL 30CM EM PLÁSTI
CO E TORNEIRA CROMADA DE MESA, PADRÃO POPULAR - FORNECIMENTO E INSTALAÇÃO.
</t>
  </si>
  <si>
    <t>SOLEIRA EM GRANITO. LARGURA 15CM, ESPESSURA 2,0 CM</t>
  </si>
  <si>
    <t>Ref: SINAPI 10/2018 RS (DESONERADO) /ORSE/SEINFRA</t>
  </si>
  <si>
    <t>OBRA – CENTRO ADMINISTRATIVO</t>
  </si>
  <si>
    <t>LOCAL –  RUA DO COMERCIO - LOTE URBANO N°4 - QUADRA 11</t>
  </si>
  <si>
    <t>CENTRO ADMINSTRATIVO</t>
  </si>
  <si>
    <t>PREFEITURA DE PAULO BENTO/RS                                                  ENG. ALESSANDER MARTINS RECK CREA 226477/RS</t>
  </si>
  <si>
    <t>PREFEITURA DE PAULO BENTO/RS                                               ENG. ALESSANDER MARTINS RECK CREA 226477/RS</t>
  </si>
  <si>
    <t>GUARDA-CORPO DE AÇO GALVANIZADO DE 1,10M, MONTANTES TUBULARES DE 1.1/4 M CR 589,21
" ESPAÇADOS DE 1,20M, TRAVESSA SUPERIOR DE 1.1/2", GRADIL FORMADO POR
TUBOS HORIZONTAIS DE 1" E VERTICAIS DE 3/4", FIXADO COM CHUMBADOR MECÂ
NICO. AF_04/2019_P</t>
  </si>
  <si>
    <t>PAREDE COM PLACAS DE GESSO ACARTONADO (DRYWALL), PARA USO INTERNO, COM 
DUAS FACES DUPLAS E ESTRUTURA METÁLICA COM GUIAS DUPLAS, COM VÃOS. AF
_06/2017_P</t>
  </si>
  <si>
    <t>COMPOSIÇÃO</t>
  </si>
  <si>
    <t>LUMINÁRIA PLAFON DE LED, 24W, BIVOLT, MÍNIMO 2.400 LÚMENS, BRANCO FRIO - FORNECIMENTO E INSTALAÇÃO</t>
  </si>
  <si>
    <t xml:space="preserve">FONTE </t>
  </si>
  <si>
    <t>QUANT.</t>
  </si>
  <si>
    <t>VALOR UNIT.</t>
  </si>
  <si>
    <t>VALOR TOTAL</t>
  </si>
  <si>
    <t>COTAÇÃO</t>
  </si>
  <si>
    <t>LUMINÁRIA PLAFON DE LED, 24W, BIVOLT, MÍNIMO 2.400 LÚMENS, BRANCO FRIO</t>
  </si>
  <si>
    <t>Unid.</t>
  </si>
  <si>
    <t>SINAPI</t>
  </si>
  <si>
    <t>ELETRICISTA C/ ENCARGOS COMPLEMENTARES</t>
  </si>
  <si>
    <t>h</t>
  </si>
  <si>
    <t>AUX. DE ELETRICISTA C/ ENCARGOS COMPLEMENTARES</t>
  </si>
  <si>
    <t>PEITORIL LINEAR EM GRANITO OU MÁRMORE, L= 15 CM, COMPRIMENTO ATÉ 2M, ASSENTADO COM ARGAMASSA 1:6 COM ADITIVO, AF_11/2020</t>
  </si>
  <si>
    <t>EXECUÇÃO DE PÁTIO/ESTACIONAMENTO EM PISO INTERTRAVADO, COM BLOCO RETANGULAR COR NATURAL DE 20 X 10 CM, ESPESSURA 8 CM. AF_12/2015</t>
  </si>
  <si>
    <t>SUMIDOURO</t>
  </si>
  <si>
    <t>MANOPLA E CANOPLA CROMADA FORNECIMENTO E INSTALAÇÃO. AF_01/2020</t>
  </si>
  <si>
    <t>INTERRUPTOR PARALELO (1 MÓDULO) COM 1 TOMADA DE EMBUTIR 2P+T 10 A, INCLUI UN
NDO SUPORTE E PLACA - FORNECIMENTO E INSTALAÇÃO. AF_12/2015</t>
  </si>
  <si>
    <t xml:space="preserve"> SENSOR DE PRESENÇA SEM FOTOCÉLULA, FIXAÇÃO EM TETO - FORNECIMENTO E INSTALAÇÃO. AF_02/2020 </t>
  </si>
  <si>
    <t>CABO DE COBRE FLEXÍVEL ISOLADO, 1,5 MM², ANTI-CHAMA 0,6/1,0 KV, PARA CIRCUITOS TERMINAIS - FORN. E INST.</t>
  </si>
  <si>
    <t>CABO DE COBRE FLEXÍVEL ISOLADO, 2,5 MM², ANTI-CHAMA 0,6/1,0 KV, PARA CIRCUITOS TERMINAIS - FORN. E INST.</t>
  </si>
  <si>
    <t>CABO DE COBRE FLEXÍVEL ISOLADO, 6,0 MM², ANTI-CHAMA 0,6/1,0 KV, PARA CIRCUITOS TERMINAIS - FORN. E INST.</t>
  </si>
  <si>
    <t>APLICAÇÃO E LIXAMENTO DE MASSA LÁTEX EM TETO, UMA DEMÃO. AF_06/2014</t>
  </si>
  <si>
    <t>APLICAÇÃO MANUAL MASSA ACRÍLICA EM FORRO DRYWALL, UMA DEMÃO (INCLUSO CORREÇÕES E LIXAMENTO)</t>
  </si>
  <si>
    <t>MW</t>
  </si>
  <si>
    <t>APLICAÇÃO MANUAL DE PINTURA COM TINTA ACRÍLICA PREMIUM BRANCA EM TETO, DUAS DEMÃOS</t>
  </si>
  <si>
    <t>GRANITO, POLIDO, TIPO ANDORINHA, H: 12 CM (ELEVADOR)</t>
  </si>
  <si>
    <t>GRANITO CINZA, LARGURA 0,12 CM, FORNECIMENTO E INSTALAÇÃO</t>
  </si>
  <si>
    <t>SINAPI-I</t>
  </si>
  <si>
    <t>GRANITO, TIPO ANDORINHA, QUARTZ, CASTELO, CORUMBA OU OUTROS EQUIVALENTES DA REIGÃO</t>
  </si>
  <si>
    <t>m</t>
  </si>
  <si>
    <t>REJUNTE CIMENTICIO (COR A DEFINIR)</t>
  </si>
  <si>
    <t>kg</t>
  </si>
  <si>
    <t>ARGAMASSA COLANTE TIPO ACIII</t>
  </si>
  <si>
    <t>MARMORISTA/GRANITEIRO C/ ENCARGOS COMPLEMENTARES</t>
  </si>
  <si>
    <t>SERVENTE C/ ENCARGOS COMPLEMENTARES</t>
  </si>
  <si>
    <t>APLICAÇÃO MANUAL DE MASSA ACRÍLICA EM FORRO DE DRYWALL, UMA DEMÃO (INCLUSO CORREÇÕES)</t>
  </si>
  <si>
    <t>MASSA ACRÍLICA INTERNA/EXTERNA</t>
  </si>
  <si>
    <t>GL</t>
  </si>
  <si>
    <t>LIXA EM FOLHA, Nº 120</t>
  </si>
  <si>
    <t>PINTOR C/ ENCARGOS COMPLEMENTARES</t>
  </si>
  <si>
    <t>MATERIAL</t>
  </si>
  <si>
    <t>MÃO DE OBRA</t>
  </si>
  <si>
    <t>1- GRANITOS / FORRO DRYWALL</t>
  </si>
  <si>
    <t>2 - ESQUADRIAS</t>
  </si>
  <si>
    <t>2.1</t>
  </si>
  <si>
    <t>2.2</t>
  </si>
  <si>
    <t>4 - ACESSÓRIOS</t>
  </si>
  <si>
    <t>4.1</t>
  </si>
  <si>
    <t>5 - COBERTURA</t>
  </si>
  <si>
    <t>6 - INSTALAÇÃO HIDROSSANITÁRIA</t>
  </si>
  <si>
    <t>6.1</t>
  </si>
  <si>
    <t>SUMIDOURO RETANGULAR, EM ALVENARIA COM BLOCOS DE CONCRETO, DIMENSÕES
INTERNAS: 1,0 X 3,0 X 3,0 M, ÁREA DE INFILTRAÇÃO: 25 M² (PARA 10 CONTRIBUINTES). AF_12/2020</t>
  </si>
  <si>
    <t>ENTRADA DE ENERGIA ELÉTRICA, AÉREA, TRIFÁSICA, COM CAIXA DE EMBUTIR, CABO DE 16 MM2 E DISJUNTOR DIN 50A (NÃO INCLUSO O POSTE DE CONCRETO). AF_07/2020</t>
  </si>
  <si>
    <t>6.2</t>
  </si>
  <si>
    <t>7 - INSTALAÇÕES ELÉTRICAS</t>
  </si>
  <si>
    <t>ENTRADA DE ENERGIA ELÉTRICA</t>
  </si>
  <si>
    <t>7.4</t>
  </si>
  <si>
    <t>7.5</t>
  </si>
  <si>
    <t>7.6</t>
  </si>
  <si>
    <t>8 -PINTURAS E ACABAMENTOS</t>
  </si>
  <si>
    <t>9 -PISO INTERTRAVADO (PAVER PATIO)</t>
  </si>
  <si>
    <t>10 SERVIÇOS FINAIS</t>
  </si>
  <si>
    <t>COBERTURA COM ESTRUTURA METÁLICA E VIDRO LAMINADO FUME 3+3mm, PERFIL PRETO (14450X3350MM)</t>
  </si>
  <si>
    <t>ALGEROZ (PLATIBANDAS)</t>
  </si>
  <si>
    <t>ALGEROZ</t>
  </si>
  <si>
    <t>RUFO EXTERNO DE CHAPA DE AÇO GALVANIZADO NUM 26 - CORTE 25 CM</t>
  </si>
  <si>
    <t>REBITE DE ALUMINIO VAZADO REPUXO 3,2X 8 MM</t>
  </si>
  <si>
    <t>KG</t>
  </si>
  <si>
    <t>TELHADOR</t>
  </si>
  <si>
    <t>SERVENTE DE OBRAS</t>
  </si>
  <si>
    <t>AFUNDAR FOSSA + FILTRO 1 METRO</t>
  </si>
  <si>
    <t>AFUNDAR FOSSA + FILTRO</t>
  </si>
  <si>
    <t>RETROESCAVADEIRA SOBRE RODAS COM CARREGADEIRA, TRAÇÃO 4X4, POTÊNCIA LÍQ. 
8 HP, CAÇAMBA CARREG. CAP. MÍN. 1 M3, CAÇAMBA RETRO CAP. 0,26 M3, PESO OPE
RACIONAL MÍN. 6.674 KG, PROFUNDIDADE ESCAVAÇÃO MÁX. 4,37 M - CHP DIURNO. A
F_06/2014
RACIONAL MÍN. 6.674 KG, PROFUNDIDADE ESCAVAÇÃO MÁX. 4,37 M - CHP DIURNO. A
F_06/2014</t>
  </si>
  <si>
    <t>H</t>
  </si>
  <si>
    <t>ENCANADOR</t>
  </si>
  <si>
    <t>AUXILIAR DE ENCANADOR</t>
  </si>
  <si>
    <t>0.4</t>
  </si>
  <si>
    <t xml:space="preserve"> SENSOR DE PRESENÇA COM FOTOCÉLULA, FIXAÇÃO EM PAREDE, PARA QUALQUER TIPO DE LAMPADA - FORNECIMENTO E INSTALAÇÃO. AF_02/2020 </t>
  </si>
  <si>
    <t>JOELHO 90 GRAUS, PVC, SERIE NORMAL, ESGOTO PREDIAL, DN 100 MM, JUNTA ELÁSTICA, FORNECIDO E INSTALADO EM PRUMADA DE ESGOTO SANITÁRIO OU VENTILAÇÃO</t>
  </si>
  <si>
    <t>JOELHO 90 GRAUS, PVC, SERIE NORMAL, ESGOTO PREDIAL, DN 150 MM, JUNTA ELASTICA FORNECIDO E INSTALADO EM PRUMADA DE ESGOTO SANITÁRIO OU VENTILAÇÃO</t>
  </si>
  <si>
    <t>JUNÇÃO SIMPLES, PVC. SERIE NORMAL, ESGOTO PREDIAL DN 100 X 100 MM, JUNTA ELÁSTICA, FORNECIDA E INSTALADO EM PRUMADA DE ESGOTO SANITÁRIO</t>
  </si>
  <si>
    <t xml:space="preserve">TUBO PVC, SERIE NORMAL, ESGOTO PREDIAL, DN 100 MM, FORNECIDO E INSTALADO EM PRUMADA DE ESGOTO SANITÁRIO OU VENTILAÇÃO </t>
  </si>
  <si>
    <t>TUBO PVC, SERIE NORMAL, ESGOTO PREDIAL, DN 75 MM, FORNECIDO E INSTALADO EM RAMAL DE DESCARGA OU RAMAL DE ESGOTO SANITÁRIO</t>
  </si>
  <si>
    <t>TUBO PVC, SERIE NORMAL, ESGOTO PREDIAL, DN 150 MM, FORNECIDO E INSTALADO EM RAMAL DE DESCARGA OU RAMAL DE ESGOTO SANITÁRIO</t>
  </si>
  <si>
    <t>COMPOSIÇÃO 1</t>
  </si>
  <si>
    <t>COMPOSIÇÃO 2</t>
  </si>
  <si>
    <t>COMPOSIÇÃO 3</t>
  </si>
  <si>
    <t>COMPOSIÇÃO 4</t>
  </si>
  <si>
    <t>COMPOSIÇÃO 5</t>
  </si>
  <si>
    <t>COMPOSIÇÃO 6</t>
  </si>
  <si>
    <t>OBRA - CENTRO ADMINISTRATIVO</t>
  </si>
  <si>
    <t>PROPRIETÁRIO - MUNICÍPIO DE PAULO BENTO - RS</t>
  </si>
  <si>
    <t>LOCAL: RUA DO COMÉRCIO - LOTE URBANO Nº 04, QUADRA 11</t>
  </si>
  <si>
    <t>4- ACESSÓRIOS</t>
  </si>
  <si>
    <t>PORTÃO DE CONTRAPESO COM ESTRUTURA DE FERRO, PINTURA PRETA, MOTOR E REVESTIMENTO EM LAMBRI DE ALUMINIO PRETO (COM MOTOR)</t>
  </si>
  <si>
    <t>ESTRUTURA DE ALUMINIO COM TUBO 5X10 - QUADRO DE FIXAÇÃO DE LUMINÁRIAS COM PINTURA ELETROSTATICA PRETA</t>
  </si>
  <si>
    <t>CORRIMÃO DE PAREDE - TUBO REDONDO DE 2 POLEGADAS</t>
  </si>
  <si>
    <t>MASSA CORRIDA PARA PAREDES INTERNAS</t>
  </si>
  <si>
    <t>CABO DE COBRE FLEXÍVEL ISOLADO, 10,0 MM², ANTI-CHAMA 0,6/1,0 KV, PARA CIRCUITOS TERMINAIS - FORN. E INST.</t>
  </si>
  <si>
    <t>JANELA DE CORRER 02 FOLHAS COM PERFIL EM ALUMINIO PRETO, FIXAÇÃO COM PARAFUSO, VEDAÇÃO COM ESPUMA EXPANSIVA PU, COM VIDROS TEMPERADOS FUMÊ 8MM (3000X2600MM)</t>
  </si>
  <si>
    <t>JANELA DE CORRER 02 FOLHAS COM PERFIL EM ALUMINIO PRETO, FIXAÇÃO COM PARAFUSO, VEDAÇÃO COM ESPUMA EXPANSIVA PU, COM VIDROS TEMPERADOS FUMÊ 8MM (2900X2600MM)</t>
  </si>
  <si>
    <t>JANELA DE CORRER 02 FOLHAS COM PERFIL EM ALUMINIO PRETO, FIXAÇÃO COM PARAFUSO, VEDAÇÃO COM ESPUMA EXPANSIVA PU, COM VIDROS TEMPERADOS FUMÊ 8MM (3150X2600MM)</t>
  </si>
  <si>
    <t>JANELA DE CORRER 02 FOLHAS COM PERFIL EM ALUMINIO PRETO, FIXAÇÃO COM PARAFUSO, VEDAÇÃO COM ESPUMA EXPANSIVA PU, COM VIDROS TEMPERADOS FUMÊ 8MM (3000X1650MM)</t>
  </si>
  <si>
    <t>MERCADP</t>
  </si>
  <si>
    <t>ALVENARIA DE VEDAÇÃO DE BLOCOS CERÂMICOS FURADOS NA VERTICAL DE 14X19X39CM, (ESPESSURA 14CM) DE PAREDES COM ÁREA LÍQUIDA MENOR QUE 6M² SEM VÃOS E ARGAMASSA DE ASSENTAMENTO COM PREPARO EM BETONEIRA. AF_06/2014</t>
  </si>
  <si>
    <t>CHAPISCO APLICADO EM ALVENARIA (SEM PRESENÇA DE VÃOS) E ESTRUTURAS DE CONCRETO DE FACHADA, COM COLHER DE PEDREIRO. ARGAMASSA TRAÇO 1:3 COM PREPARO MANUAL. AF_06/2014</t>
  </si>
  <si>
    <t>MASSA ÚNICA, PARA RECEBIMENTO DE PINTURA, EM ARGAMASSA TRAÇO 1:2:8, PREPARO MECÂNICO COM BETONEIRA 400L, APLICADA MANUALMENTE EM FACES INTERNAS DE PAREDES, ESPESSURA DE 20MM, COM EXECUÇÃO DE TALISCAS. AF_06/2014</t>
  </si>
  <si>
    <t>VERGA MOLDADA IN LOCO EM CONCRETO PARA JANELAS COM MAIS DE 1,5 M DE VÃO. AF_03/2016</t>
  </si>
  <si>
    <t>3 - PAREDE DRYWALL / PAREDE DE ALVENARIA NA FACHADA</t>
  </si>
  <si>
    <t>PORTA DE GIRO COM CHAPA BUZIOS REFORÇADA, DUPLA, COM FECHADO MAÇANEA E 2 AUXILIARES TETRA (PORTA DA SALA DE ARMAS TÉRREO)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</si>
</sst>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#,##0.000000"/>
    <numFmt numFmtId="165" formatCode="#,##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Arial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3F3F3F"/>
      <name val="Times New Roman"/>
      <family val="1"/>
    </font>
    <font>
      <b/>
      <sz val="18"/>
      <color rgb="FF3F3F3F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Times New Roman"/>
      <family val="1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  <font>
      <u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9" fontId="1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44" fontId="1" fillId="0" borderId="0" applyFont="0" applyFill="0" applyBorder="0" applyAlignment="0" applyProtection="0"/>
    <xf numFmtId="0" fontId="13" fillId="8" borderId="0" applyFont="0" applyBorder="0" applyAlignment="0">
      <alignment horizontal="left"/>
    </xf>
    <xf numFmtId="0" fontId="24" fillId="0" borderId="0"/>
    <xf numFmtId="44" fontId="1" fillId="0" borderId="0" applyFont="0" applyFill="0" applyBorder="0" applyAlignment="0" applyProtection="0"/>
  </cellStyleXfs>
  <cellXfs count="273">
    <xf numFmtId="0" fontId="0" fillId="0" borderId="0" xfId="0"/>
    <xf numFmtId="44" fontId="6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19" xfId="0" applyNumberFormat="1" applyFont="1" applyBorder="1"/>
    <xf numFmtId="4" fontId="15" fillId="0" borderId="0" xfId="0" applyNumberFormat="1" applyFont="1" applyBorder="1"/>
    <xf numFmtId="4" fontId="4" fillId="0" borderId="0" xfId="0" applyNumberFormat="1" applyFont="1" applyBorder="1"/>
    <xf numFmtId="4" fontId="4" fillId="0" borderId="20" xfId="0" applyNumberFormat="1" applyFont="1" applyBorder="1"/>
    <xf numFmtId="4" fontId="8" fillId="0" borderId="0" xfId="0" applyNumberFormat="1" applyFont="1" applyBorder="1"/>
    <xf numFmtId="4" fontId="8" fillId="0" borderId="0" xfId="0" applyNumberFormat="1" applyFont="1" applyBorder="1" applyAlignment="1">
      <alignment horizontal="left"/>
    </xf>
    <xf numFmtId="4" fontId="4" fillId="0" borderId="19" xfId="0" applyNumberFormat="1" applyFont="1" applyFill="1" applyBorder="1"/>
    <xf numFmtId="4" fontId="4" fillId="0" borderId="0" xfId="0" applyNumberFormat="1" applyFont="1" applyFill="1" applyBorder="1"/>
    <xf numFmtId="4" fontId="4" fillId="0" borderId="20" xfId="0" applyNumberFormat="1" applyFont="1" applyFill="1" applyBorder="1"/>
    <xf numFmtId="4" fontId="8" fillId="0" borderId="0" xfId="0" applyNumberFormat="1" applyFont="1" applyFill="1" applyBorder="1" applyAlignment="1">
      <alignment horizontal="center"/>
    </xf>
    <xf numFmtId="4" fontId="4" fillId="0" borderId="13" xfId="0" applyNumberFormat="1" applyFont="1" applyFill="1" applyBorder="1"/>
    <xf numFmtId="4" fontId="4" fillId="0" borderId="3" xfId="0" applyNumberFormat="1" applyFont="1" applyFill="1" applyBorder="1"/>
    <xf numFmtId="4" fontId="8" fillId="0" borderId="3" xfId="0" applyNumberFormat="1" applyFont="1" applyFill="1" applyBorder="1"/>
    <xf numFmtId="4" fontId="4" fillId="0" borderId="14" xfId="0" applyNumberFormat="1" applyFont="1" applyFill="1" applyBorder="1"/>
    <xf numFmtId="4" fontId="8" fillId="0" borderId="0" xfId="0" applyNumberFormat="1" applyFont="1" applyFill="1" applyBorder="1"/>
    <xf numFmtId="4" fontId="4" fillId="0" borderId="10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4" fontId="16" fillId="0" borderId="2" xfId="0" applyNumberFormat="1" applyFont="1" applyFill="1" applyBorder="1"/>
    <xf numFmtId="4" fontId="4" fillId="0" borderId="11" xfId="0" applyNumberFormat="1" applyFont="1" applyFill="1" applyBorder="1"/>
    <xf numFmtId="4" fontId="4" fillId="0" borderId="27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/>
    <xf numFmtId="4" fontId="4" fillId="0" borderId="28" xfId="0" applyNumberFormat="1" applyFont="1" applyFill="1" applyBorder="1"/>
    <xf numFmtId="4" fontId="8" fillId="0" borderId="13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left"/>
    </xf>
    <xf numFmtId="4" fontId="4" fillId="0" borderId="29" xfId="0" applyNumberFormat="1" applyFont="1" applyFill="1" applyBorder="1"/>
    <xf numFmtId="4" fontId="4" fillId="0" borderId="2" xfId="0" applyNumberFormat="1" applyFont="1" applyFill="1" applyBorder="1"/>
    <xf numFmtId="4" fontId="17" fillId="0" borderId="0" xfId="0" applyNumberFormat="1" applyFont="1" applyFill="1" applyBorder="1" applyAlignment="1">
      <alignment horizontal="center"/>
    </xf>
    <xf numFmtId="4" fontId="18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center"/>
    </xf>
    <xf numFmtId="4" fontId="4" fillId="0" borderId="30" xfId="0" applyNumberFormat="1" applyFont="1" applyFill="1" applyBorder="1"/>
    <xf numFmtId="4" fontId="4" fillId="0" borderId="4" xfId="0" applyNumberFormat="1" applyFont="1" applyFill="1" applyBorder="1"/>
    <xf numFmtId="4" fontId="4" fillId="0" borderId="12" xfId="0" applyNumberFormat="1" applyFont="1" applyFill="1" applyBorder="1"/>
    <xf numFmtId="164" fontId="4" fillId="0" borderId="4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center"/>
    </xf>
    <xf numFmtId="4" fontId="20" fillId="0" borderId="0" xfId="0" applyNumberFormat="1" applyFont="1" applyFill="1" applyBorder="1"/>
    <xf numFmtId="4" fontId="19" fillId="0" borderId="0" xfId="0" applyNumberFormat="1" applyFont="1" applyFill="1" applyBorder="1" applyAlignment="1">
      <alignment horizontal="left"/>
    </xf>
    <xf numFmtId="4" fontId="19" fillId="0" borderId="0" xfId="0" applyNumberFormat="1" applyFont="1" applyFill="1" applyBorder="1"/>
    <xf numFmtId="0" fontId="0" fillId="0" borderId="0" xfId="0" applyAlignment="1"/>
    <xf numFmtId="0" fontId="22" fillId="0" borderId="0" xfId="0" applyFont="1"/>
    <xf numFmtId="0" fontId="14" fillId="0" borderId="17" xfId="0" applyFont="1" applyBorder="1"/>
    <xf numFmtId="4" fontId="23" fillId="0" borderId="23" xfId="0" applyNumberFormat="1" applyFont="1" applyBorder="1"/>
    <xf numFmtId="4" fontId="23" fillId="0" borderId="18" xfId="0" applyNumberFormat="1" applyFont="1" applyBorder="1"/>
    <xf numFmtId="0" fontId="14" fillId="0" borderId="19" xfId="0" applyFont="1" applyBorder="1"/>
    <xf numFmtId="4" fontId="23" fillId="0" borderId="0" xfId="0" applyNumberFormat="1" applyFont="1" applyBorder="1"/>
    <xf numFmtId="4" fontId="23" fillId="0" borderId="20" xfId="0" applyNumberFormat="1" applyFont="1" applyBorder="1"/>
    <xf numFmtId="0" fontId="14" fillId="0" borderId="21" xfId="0" applyFont="1" applyBorder="1"/>
    <xf numFmtId="4" fontId="23" fillId="0" borderId="24" xfId="0" applyNumberFormat="1" applyFont="1" applyBorder="1"/>
    <xf numFmtId="4" fontId="23" fillId="0" borderId="22" xfId="0" applyNumberFormat="1" applyFont="1" applyBorder="1"/>
    <xf numFmtId="9" fontId="8" fillId="0" borderId="31" xfId="3" applyFont="1" applyBorder="1" applyAlignment="1">
      <alignment horizontal="center"/>
    </xf>
    <xf numFmtId="10" fontId="8" fillId="0" borderId="31" xfId="3" applyNumberFormat="1" applyFont="1" applyBorder="1" applyAlignment="1">
      <alignment horizontal="center" vertical="center"/>
    </xf>
    <xf numFmtId="44" fontId="8" fillId="0" borderId="31" xfId="3" applyNumberFormat="1" applyFont="1" applyBorder="1" applyAlignment="1">
      <alignment horizontal="center"/>
    </xf>
    <xf numFmtId="44" fontId="8" fillId="0" borderId="31" xfId="0" applyNumberFormat="1" applyFont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left" vertical="center" wrapText="1"/>
    </xf>
    <xf numFmtId="44" fontId="4" fillId="5" borderId="31" xfId="1" applyFont="1" applyFill="1" applyBorder="1" applyAlignment="1">
      <alignment horizontal="center" vertical="center"/>
    </xf>
    <xf numFmtId="0" fontId="4" fillId="5" borderId="31" xfId="0" quotePrefix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44" fontId="4" fillId="0" borderId="31" xfId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44" fontId="11" fillId="0" borderId="31" xfId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44" fontId="8" fillId="0" borderId="31" xfId="0" applyNumberFormat="1" applyFont="1" applyBorder="1"/>
    <xf numFmtId="0" fontId="0" fillId="0" borderId="0" xfId="0" applyAlignment="1">
      <alignment horizontal="center" vertical="center"/>
    </xf>
    <xf numFmtId="44" fontId="7" fillId="0" borderId="3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11" fillId="0" borderId="31" xfId="0" applyFont="1" applyFill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44" fontId="4" fillId="0" borderId="31" xfId="1" applyFont="1" applyBorder="1" applyAlignment="1">
      <alignment horizontal="center" vertical="center" wrapText="1"/>
    </xf>
    <xf numFmtId="9" fontId="8" fillId="0" borderId="31" xfId="0" applyNumberFormat="1" applyFont="1" applyBorder="1" applyAlignment="1">
      <alignment horizontal="center" vertical="center"/>
    </xf>
    <xf numFmtId="44" fontId="8" fillId="0" borderId="31" xfId="0" applyNumberFormat="1" applyFont="1" applyBorder="1" applyAlignment="1">
      <alignment horizontal="center"/>
    </xf>
    <xf numFmtId="44" fontId="8" fillId="0" borderId="33" xfId="0" applyNumberFormat="1" applyFont="1" applyBorder="1"/>
    <xf numFmtId="10" fontId="8" fillId="0" borderId="33" xfId="0" applyNumberFormat="1" applyFont="1" applyBorder="1" applyAlignment="1">
      <alignment horizontal="center" vertical="center"/>
    </xf>
    <xf numFmtId="44" fontId="8" fillId="0" borderId="33" xfId="0" applyNumberFormat="1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44" fontId="4" fillId="0" borderId="9" xfId="1" applyFont="1" applyBorder="1" applyAlignment="1">
      <alignment horizontal="center" vertical="center"/>
    </xf>
    <xf numFmtId="44" fontId="4" fillId="5" borderId="9" xfId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4" fontId="11" fillId="0" borderId="9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8" fontId="11" fillId="0" borderId="31" xfId="1" applyNumberFormat="1" applyFont="1" applyBorder="1" applyAlignment="1">
      <alignment horizontal="center" vertical="center"/>
    </xf>
    <xf numFmtId="8" fontId="4" fillId="0" borderId="3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9" fillId="6" borderId="34" xfId="2" applyFont="1" applyFill="1" applyBorder="1" applyAlignment="1">
      <alignment horizontal="center" vertical="center"/>
    </xf>
    <xf numFmtId="0" fontId="9" fillId="6" borderId="3" xfId="2" applyFont="1" applyFill="1" applyBorder="1" applyAlignment="1">
      <alignment horizontal="center" vertical="center"/>
    </xf>
    <xf numFmtId="0" fontId="9" fillId="6" borderId="25" xfId="2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1" fillId="5" borderId="31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44" fontId="0" fillId="0" borderId="0" xfId="6" applyFont="1" applyBorder="1"/>
    <xf numFmtId="44" fontId="0" fillId="0" borderId="31" xfId="6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0" fillId="0" borderId="0" xfId="6" applyFont="1" applyBorder="1" applyAlignment="1">
      <alignment horizontal="center" vertical="center"/>
    </xf>
    <xf numFmtId="44" fontId="0" fillId="0" borderId="31" xfId="6" applyFont="1" applyBorder="1"/>
    <xf numFmtId="0" fontId="0" fillId="0" borderId="0" xfId="0" applyBorder="1" applyAlignment="1">
      <alignment horizontal="left" vertical="center"/>
    </xf>
    <xf numFmtId="44" fontId="0" fillId="0" borderId="31" xfId="6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0" fillId="0" borderId="0" xfId="6" applyFont="1" applyBorder="1" applyAlignment="1">
      <alignment horizontal="center" vertical="center"/>
    </xf>
    <xf numFmtId="44" fontId="0" fillId="0" borderId="31" xfId="6" applyFont="1" applyBorder="1"/>
    <xf numFmtId="0" fontId="0" fillId="0" borderId="0" xfId="0" applyBorder="1" applyAlignment="1">
      <alignment horizontal="left" vertical="center"/>
    </xf>
    <xf numFmtId="0" fontId="0" fillId="0" borderId="0" xfId="0"/>
    <xf numFmtId="44" fontId="0" fillId="0" borderId="31" xfId="6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4" fontId="0" fillId="0" borderId="31" xfId="6" applyFont="1" applyBorder="1"/>
    <xf numFmtId="0" fontId="22" fillId="0" borderId="38" xfId="0" applyFont="1" applyBorder="1" applyAlignment="1">
      <alignment horizontal="center" vertical="center"/>
    </xf>
    <xf numFmtId="0" fontId="11" fillId="5" borderId="31" xfId="0" applyFont="1" applyFill="1" applyBorder="1" applyAlignment="1">
      <alignment horizontal="left" vertical="center" wrapText="1"/>
    </xf>
    <xf numFmtId="0" fontId="9" fillId="5" borderId="19" xfId="2" applyFont="1" applyFill="1" applyBorder="1" applyAlignment="1">
      <alignment vertical="center"/>
    </xf>
    <xf numFmtId="44" fontId="8" fillId="9" borderId="25" xfId="1" applyFont="1" applyFill="1" applyBorder="1" applyAlignment="1">
      <alignment horizontal="center" vertical="center"/>
    </xf>
    <xf numFmtId="44" fontId="8" fillId="9" borderId="9" xfId="0" applyNumberFormat="1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44" fontId="11" fillId="5" borderId="31" xfId="1" applyFont="1" applyFill="1" applyBorder="1" applyAlignment="1">
      <alignment horizontal="center" vertical="center"/>
    </xf>
    <xf numFmtId="44" fontId="11" fillId="5" borderId="9" xfId="1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8" fontId="0" fillId="0" borderId="31" xfId="6" applyNumberFormat="1" applyFont="1" applyBorder="1" applyAlignment="1">
      <alignment horizontal="center" vertical="center"/>
    </xf>
    <xf numFmtId="44" fontId="8" fillId="10" borderId="25" xfId="0" applyNumberFormat="1" applyFont="1" applyFill="1" applyBorder="1" applyAlignment="1">
      <alignment horizontal="center" vertical="center"/>
    </xf>
    <xf numFmtId="44" fontId="0" fillId="0" borderId="31" xfId="6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right"/>
    </xf>
    <xf numFmtId="0" fontId="4" fillId="5" borderId="31" xfId="0" applyFont="1" applyFill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0" fillId="0" borderId="0" xfId="0" applyBorder="1"/>
    <xf numFmtId="0" fontId="8" fillId="6" borderId="31" xfId="0" applyFont="1" applyFill="1" applyBorder="1" applyAlignment="1"/>
    <xf numFmtId="0" fontId="0" fillId="0" borderId="27" xfId="0" applyBorder="1"/>
    <xf numFmtId="0" fontId="7" fillId="6" borderId="31" xfId="0" applyFont="1" applyFill="1" applyBorder="1" applyAlignment="1">
      <alignment horizontal="center" vertical="center"/>
    </xf>
    <xf numFmtId="44" fontId="7" fillId="0" borderId="33" xfId="0" applyNumberFormat="1" applyFont="1" applyBorder="1" applyAlignment="1">
      <alignment horizontal="center" vertical="center"/>
    </xf>
    <xf numFmtId="0" fontId="8" fillId="6" borderId="10" xfId="0" applyFont="1" applyFill="1" applyBorder="1" applyAlignment="1">
      <alignment horizontal="left"/>
    </xf>
    <xf numFmtId="0" fontId="8" fillId="6" borderId="2" xfId="0" applyFont="1" applyFill="1" applyBorder="1" applyAlignment="1">
      <alignment horizontal="left"/>
    </xf>
    <xf numFmtId="0" fontId="8" fillId="6" borderId="27" xfId="0" applyFont="1" applyFill="1" applyBorder="1" applyAlignment="1">
      <alignment horizontal="left"/>
    </xf>
    <xf numFmtId="0" fontId="8" fillId="6" borderId="0" xfId="0" applyFont="1" applyFill="1" applyBorder="1" applyAlignment="1">
      <alignment horizontal="left"/>
    </xf>
    <xf numFmtId="0" fontId="4" fillId="5" borderId="31" xfId="0" applyFont="1" applyFill="1" applyBorder="1" applyAlignment="1">
      <alignment horizontal="center" vertical="center" wrapText="1"/>
    </xf>
    <xf numFmtId="0" fontId="0" fillId="5" borderId="31" xfId="0" applyFont="1" applyFill="1" applyBorder="1" applyAlignment="1">
      <alignment horizontal="left" vertical="center" wrapText="1"/>
    </xf>
    <xf numFmtId="44" fontId="7" fillId="5" borderId="3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left" vertical="center" wrapText="1"/>
    </xf>
    <xf numFmtId="0" fontId="4" fillId="5" borderId="31" xfId="0" quotePrefix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9" fillId="6" borderId="34" xfId="2" applyFont="1" applyFill="1" applyBorder="1" applyAlignment="1">
      <alignment horizontal="center" vertical="center"/>
    </xf>
    <xf numFmtId="0" fontId="9" fillId="6" borderId="3" xfId="2" applyFont="1" applyFill="1" applyBorder="1" applyAlignment="1">
      <alignment horizontal="center" vertical="center"/>
    </xf>
    <xf numFmtId="0" fontId="9" fillId="6" borderId="25" xfId="2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5" fillId="6" borderId="34" xfId="4" applyFont="1" applyFill="1" applyBorder="1" applyAlignment="1">
      <alignment horizontal="left" vertical="center"/>
    </xf>
    <xf numFmtId="0" fontId="5" fillId="6" borderId="3" xfId="4" applyFont="1" applyFill="1" applyBorder="1" applyAlignment="1">
      <alignment horizontal="left" vertical="center"/>
    </xf>
    <xf numFmtId="0" fontId="5" fillId="6" borderId="14" xfId="4" applyFont="1" applyFill="1" applyBorder="1" applyAlignment="1">
      <alignment horizontal="left" vertical="center"/>
    </xf>
    <xf numFmtId="0" fontId="10" fillId="6" borderId="5" xfId="2" applyFont="1" applyFill="1" applyBorder="1" applyAlignment="1">
      <alignment horizontal="center" vertical="center"/>
    </xf>
    <xf numFmtId="0" fontId="10" fillId="6" borderId="32" xfId="2" applyFont="1" applyFill="1" applyBorder="1" applyAlignment="1">
      <alignment horizontal="center" vertical="center"/>
    </xf>
    <xf numFmtId="0" fontId="10" fillId="6" borderId="7" xfId="2" applyFont="1" applyFill="1" applyBorder="1" applyAlignment="1">
      <alignment horizontal="center" vertical="center"/>
    </xf>
    <xf numFmtId="0" fontId="10" fillId="6" borderId="8" xfId="2" applyFont="1" applyFill="1" applyBorder="1" applyAlignment="1">
      <alignment horizontal="center" vertical="center"/>
    </xf>
    <xf numFmtId="0" fontId="10" fillId="6" borderId="31" xfId="2" applyFont="1" applyFill="1" applyBorder="1" applyAlignment="1">
      <alignment horizontal="center" vertical="center"/>
    </xf>
    <xf numFmtId="0" fontId="10" fillId="6" borderId="9" xfId="2" applyFont="1" applyFill="1" applyBorder="1" applyAlignment="1">
      <alignment horizontal="center" vertical="center"/>
    </xf>
    <xf numFmtId="44" fontId="9" fillId="6" borderId="31" xfId="2" applyNumberFormat="1" applyFont="1" applyFill="1" applyBorder="1" applyAlignment="1">
      <alignment horizontal="center" vertical="center" wrapText="1"/>
    </xf>
    <xf numFmtId="44" fontId="9" fillId="6" borderId="9" xfId="2" applyNumberFormat="1" applyFont="1" applyFill="1" applyBorder="1" applyAlignment="1">
      <alignment horizontal="center" vertical="center" wrapText="1"/>
    </xf>
    <xf numFmtId="0" fontId="9" fillId="6" borderId="8" xfId="2" applyFont="1" applyFill="1" applyBorder="1" applyAlignment="1">
      <alignment horizontal="center" vertical="center"/>
    </xf>
    <xf numFmtId="0" fontId="9" fillId="6" borderId="31" xfId="2" applyFont="1" applyFill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22" fillId="9" borderId="35" xfId="0" applyFont="1" applyFill="1" applyBorder="1" applyAlignment="1">
      <alignment horizontal="center"/>
    </xf>
    <xf numFmtId="0" fontId="22" fillId="9" borderId="36" xfId="0" applyFont="1" applyFill="1" applyBorder="1" applyAlignment="1">
      <alignment horizontal="center"/>
    </xf>
    <xf numFmtId="0" fontId="22" fillId="9" borderId="36" xfId="0" applyFont="1" applyFill="1" applyBorder="1" applyAlignment="1">
      <alignment horizontal="center" vertical="center"/>
    </xf>
    <xf numFmtId="0" fontId="22" fillId="9" borderId="37" xfId="0" applyFon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3" xfId="0" applyFont="1" applyBorder="1" applyAlignment="1">
      <alignment horizontal="right"/>
    </xf>
    <xf numFmtId="0" fontId="22" fillId="0" borderId="3" xfId="0" applyFont="1" applyBorder="1" applyAlignment="1">
      <alignment horizontal="right"/>
    </xf>
    <xf numFmtId="0" fontId="22" fillId="0" borderId="14" xfId="0" applyFont="1" applyBorder="1" applyAlignment="1">
      <alignment horizontal="right"/>
    </xf>
    <xf numFmtId="0" fontId="0" fillId="0" borderId="1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/>
    </xf>
    <xf numFmtId="0" fontId="22" fillId="9" borderId="36" xfId="0" applyFont="1" applyFill="1" applyBorder="1" applyAlignment="1">
      <alignment horizontal="center" vertical="center" wrapText="1"/>
    </xf>
    <xf numFmtId="0" fontId="22" fillId="9" borderId="37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left"/>
    </xf>
    <xf numFmtId="0" fontId="8" fillId="6" borderId="0" xfId="0" applyFont="1" applyFill="1" applyBorder="1" applyAlignment="1">
      <alignment horizontal="left"/>
    </xf>
    <xf numFmtId="0" fontId="8" fillId="6" borderId="28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8" fillId="6" borderId="12" xfId="0" applyFont="1" applyFill="1" applyBorder="1" applyAlignment="1">
      <alignment horizontal="left"/>
    </xf>
    <xf numFmtId="0" fontId="8" fillId="0" borderId="1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31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8" fillId="0" borderId="31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6" borderId="33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8" fillId="0" borderId="1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4" fillId="0" borderId="2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" fontId="1" fillId="6" borderId="16" xfId="5" applyNumberFormat="1" applyFont="1" applyFill="1" applyBorder="1" applyAlignment="1">
      <alignment horizontal="center"/>
    </xf>
    <xf numFmtId="4" fontId="1" fillId="6" borderId="6" xfId="5" applyNumberFormat="1" applyFont="1" applyFill="1" applyBorder="1" applyAlignment="1">
      <alignment horizontal="center"/>
    </xf>
    <xf numFmtId="4" fontId="1" fillId="6" borderId="26" xfId="5" applyNumberFormat="1" applyFont="1" applyFill="1" applyBorder="1" applyAlignment="1">
      <alignment horizontal="center"/>
    </xf>
    <xf numFmtId="4" fontId="19" fillId="0" borderId="19" xfId="0" applyNumberFormat="1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horizontal="center"/>
    </xf>
    <xf numFmtId="4" fontId="4" fillId="0" borderId="21" xfId="0" applyNumberFormat="1" applyFont="1" applyBorder="1" applyAlignment="1">
      <alignment horizontal="left" vertical="center"/>
    </xf>
    <xf numFmtId="4" fontId="4" fillId="0" borderId="24" xfId="0" applyNumberFormat="1" applyFont="1" applyBorder="1" applyAlignment="1">
      <alignment horizontal="left" vertical="center"/>
    </xf>
    <xf numFmtId="4" fontId="4" fillId="0" borderId="22" xfId="0" applyNumberFormat="1" applyFont="1" applyBorder="1" applyAlignment="1">
      <alignment horizontal="left" vertical="center"/>
    </xf>
  </cellXfs>
  <cellStyles count="10">
    <cellStyle name="Ênfase2" xfId="5" builtinId="33"/>
    <cellStyle name="Ênfase3" xfId="4" builtinId="37"/>
    <cellStyle name="Estilo 1" xfId="7"/>
    <cellStyle name="Moeda" xfId="1" builtinId="4"/>
    <cellStyle name="Moeda 2" xfId="6"/>
    <cellStyle name="Moeda 3" xfId="9"/>
    <cellStyle name="Normal" xfId="0" builtinId="0"/>
    <cellStyle name="Normal 2" xfId="8"/>
    <cellStyle name="Porcentagem" xfId="3" builtinId="5"/>
    <cellStyle name="Saí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20</xdr:row>
      <xdr:rowOff>171449</xdr:rowOff>
    </xdr:from>
    <xdr:to>
      <xdr:col>4</xdr:col>
      <xdr:colOff>581025</xdr:colOff>
      <xdr:row>22</xdr:row>
      <xdr:rowOff>120694</xdr:rowOff>
    </xdr:to>
    <xdr:sp macro="" textlink="">
      <xdr:nvSpPr>
        <xdr:cNvPr id="2" name="Chave esquerd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57500" y="4000499"/>
          <a:ext cx="161925" cy="330245"/>
        </a:xfrm>
        <a:prstGeom prst="leftBrace">
          <a:avLst>
            <a:gd name="adj1" fmla="val 8333"/>
            <a:gd name="adj2" fmla="val 50852"/>
          </a:avLst>
        </a:prstGeom>
        <a:noFill/>
        <a:ln w="6350" cap="rnd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t-BR"/>
        </a:p>
      </xdr:txBody>
    </xdr:sp>
    <xdr:clientData/>
  </xdr:twoCellAnchor>
  <xdr:twoCellAnchor>
    <xdr:from>
      <xdr:col>4</xdr:col>
      <xdr:colOff>393821</xdr:colOff>
      <xdr:row>29</xdr:row>
      <xdr:rowOff>142875</xdr:rowOff>
    </xdr:from>
    <xdr:to>
      <xdr:col>4</xdr:col>
      <xdr:colOff>439540</xdr:colOff>
      <xdr:row>32</xdr:row>
      <xdr:rowOff>23813</xdr:rowOff>
    </xdr:to>
    <xdr:sp macro="" textlink="">
      <xdr:nvSpPr>
        <xdr:cNvPr id="3" name="Colchete esquerd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41471" y="3752850"/>
          <a:ext cx="45719" cy="442913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t-BR"/>
        </a:p>
      </xdr:txBody>
    </xdr:sp>
    <xdr:clientData/>
  </xdr:twoCellAnchor>
  <xdr:twoCellAnchor>
    <xdr:from>
      <xdr:col>8</xdr:col>
      <xdr:colOff>40109</xdr:colOff>
      <xdr:row>29</xdr:row>
      <xdr:rowOff>100263</xdr:rowOff>
    </xdr:from>
    <xdr:to>
      <xdr:col>8</xdr:col>
      <xdr:colOff>95254</xdr:colOff>
      <xdr:row>32</xdr:row>
      <xdr:rowOff>0</xdr:rowOff>
    </xdr:to>
    <xdr:sp macro="" textlink="">
      <xdr:nvSpPr>
        <xdr:cNvPr id="4" name="Colchete direi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383384" y="3710238"/>
          <a:ext cx="55145" cy="461712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t-BR"/>
        </a:p>
      </xdr:txBody>
    </xdr:sp>
    <xdr:clientData/>
  </xdr:twoCellAnchor>
  <xdr:twoCellAnchor>
    <xdr:from>
      <xdr:col>8</xdr:col>
      <xdr:colOff>40109</xdr:colOff>
      <xdr:row>35</xdr:row>
      <xdr:rowOff>100263</xdr:rowOff>
    </xdr:from>
    <xdr:to>
      <xdr:col>8</xdr:col>
      <xdr:colOff>95254</xdr:colOff>
      <xdr:row>38</xdr:row>
      <xdr:rowOff>0</xdr:rowOff>
    </xdr:to>
    <xdr:sp macro="" textlink="">
      <xdr:nvSpPr>
        <xdr:cNvPr id="5" name="Colchete direito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383384" y="4757988"/>
          <a:ext cx="55145" cy="461712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t-BR"/>
        </a:p>
      </xdr:txBody>
    </xdr:sp>
    <xdr:clientData/>
  </xdr:twoCellAnchor>
  <xdr:twoCellAnchor>
    <xdr:from>
      <xdr:col>4</xdr:col>
      <xdr:colOff>371475</xdr:colOff>
      <xdr:row>35</xdr:row>
      <xdr:rowOff>133350</xdr:rowOff>
    </xdr:from>
    <xdr:to>
      <xdr:col>4</xdr:col>
      <xdr:colOff>417194</xdr:colOff>
      <xdr:row>38</xdr:row>
      <xdr:rowOff>14288</xdr:rowOff>
    </xdr:to>
    <xdr:sp macro="" textlink="">
      <xdr:nvSpPr>
        <xdr:cNvPr id="6" name="Colchete esquerdo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19125" y="4791075"/>
          <a:ext cx="45719" cy="442913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t-BR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tabSelected="1" zoomScale="70" zoomScaleNormal="70" workbookViewId="0">
      <pane xSplit="6" ySplit="6" topLeftCell="G91" activePane="bottomRight" state="frozen"/>
      <selection pane="topRight" activeCell="G1" sqref="G1"/>
      <selection pane="bottomLeft" activeCell="A7" sqref="A7"/>
      <selection pane="bottomRight" activeCell="B42" sqref="B42:F42"/>
    </sheetView>
  </sheetViews>
  <sheetFormatPr defaultRowHeight="15" x14ac:dyDescent="0.25"/>
  <cols>
    <col min="1" max="1" width="13.5703125" style="69" bestFit="1" customWidth="1"/>
    <col min="2" max="2" width="129.42578125" style="69" bestFit="1" customWidth="1"/>
    <col min="3" max="3" width="9.28515625" style="69" bestFit="1" customWidth="1"/>
    <col min="4" max="4" width="10.140625" style="69" bestFit="1" customWidth="1"/>
    <col min="5" max="5" width="18.140625" style="69" customWidth="1"/>
    <col min="6" max="6" width="16.85546875" style="69" customWidth="1"/>
    <col min="7" max="7" width="19.85546875" style="69" customWidth="1"/>
    <col min="8" max="10" width="14.28515625" style="69" bestFit="1" customWidth="1"/>
    <col min="11" max="16384" width="9.140625" style="69"/>
  </cols>
  <sheetData>
    <row r="1" spans="1:16" ht="20.25" customHeight="1" x14ac:dyDescent="0.25">
      <c r="A1" s="211" t="s">
        <v>0</v>
      </c>
      <c r="B1" s="212"/>
      <c r="C1" s="212"/>
      <c r="D1" s="212"/>
      <c r="E1" s="212"/>
      <c r="F1" s="212"/>
      <c r="G1" s="213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214"/>
      <c r="B2" s="215"/>
      <c r="C2" s="215"/>
      <c r="D2" s="215"/>
      <c r="E2" s="215"/>
      <c r="F2" s="215"/>
      <c r="G2" s="216"/>
      <c r="H2" s="2"/>
      <c r="I2" s="2"/>
      <c r="J2" s="2"/>
      <c r="K2" s="2"/>
      <c r="L2" s="2"/>
      <c r="M2" s="2"/>
      <c r="N2" s="2"/>
      <c r="O2" s="2"/>
      <c r="P2" s="2"/>
    </row>
    <row r="3" spans="1:16" ht="15" customHeight="1" x14ac:dyDescent="0.25">
      <c r="A3" s="95"/>
      <c r="B3" s="74" t="s">
        <v>110</v>
      </c>
      <c r="C3" s="188" t="s">
        <v>109</v>
      </c>
      <c r="D3" s="188"/>
      <c r="E3" s="188"/>
      <c r="F3" s="188"/>
      <c r="G3" s="189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95"/>
      <c r="B4" s="74" t="s">
        <v>11</v>
      </c>
      <c r="C4" s="96"/>
      <c r="D4" s="96"/>
      <c r="E4" s="96"/>
      <c r="F4" s="96" t="s">
        <v>9</v>
      </c>
      <c r="G4" s="83">
        <v>0.25</v>
      </c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95"/>
      <c r="B5" s="74" t="s">
        <v>111</v>
      </c>
      <c r="C5" s="96"/>
      <c r="D5" s="94" t="s">
        <v>48</v>
      </c>
      <c r="E5" s="70">
        <f>G134/502</f>
        <v>602.55548281872518</v>
      </c>
      <c r="F5" s="96"/>
      <c r="G5" s="9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85"/>
      <c r="B6" s="186"/>
      <c r="C6" s="186"/>
      <c r="D6" s="186"/>
      <c r="E6" s="186"/>
      <c r="F6" s="186"/>
      <c r="G6" s="187"/>
      <c r="H6" s="2"/>
      <c r="I6" s="2"/>
      <c r="J6" s="2"/>
      <c r="K6" s="2"/>
      <c r="L6" s="2"/>
      <c r="M6" s="2"/>
      <c r="N6" s="2"/>
      <c r="O6" s="2"/>
      <c r="P6" s="2"/>
    </row>
    <row r="7" spans="1:16" ht="26.25" customHeight="1" x14ac:dyDescent="0.25">
      <c r="A7" s="219" t="s">
        <v>1</v>
      </c>
      <c r="B7" s="220" t="s">
        <v>2</v>
      </c>
      <c r="C7" s="220" t="s">
        <v>3</v>
      </c>
      <c r="D7" s="220" t="s">
        <v>4</v>
      </c>
      <c r="E7" s="217" t="s">
        <v>6</v>
      </c>
      <c r="F7" s="217" t="s">
        <v>7</v>
      </c>
      <c r="G7" s="218" t="s">
        <v>5</v>
      </c>
      <c r="H7" s="1"/>
      <c r="I7" s="71"/>
      <c r="J7" s="2"/>
      <c r="K7" s="2"/>
      <c r="L7" s="2"/>
      <c r="M7" s="2"/>
      <c r="N7" s="2"/>
      <c r="O7" s="2"/>
      <c r="P7" s="2"/>
    </row>
    <row r="8" spans="1:16" x14ac:dyDescent="0.25">
      <c r="A8" s="219"/>
      <c r="B8" s="220"/>
      <c r="C8" s="220"/>
      <c r="D8" s="220"/>
      <c r="E8" s="217"/>
      <c r="F8" s="217"/>
      <c r="G8" s="218"/>
      <c r="H8" s="1"/>
      <c r="I8" s="71"/>
      <c r="J8" s="2"/>
      <c r="K8" s="2"/>
      <c r="L8" s="2"/>
      <c r="M8" s="2"/>
      <c r="N8" s="2"/>
      <c r="O8" s="2"/>
      <c r="P8" s="2"/>
    </row>
    <row r="9" spans="1:16" x14ac:dyDescent="0.25">
      <c r="A9" s="185"/>
      <c r="B9" s="186"/>
      <c r="C9" s="186"/>
      <c r="D9" s="186"/>
      <c r="E9" s="186"/>
      <c r="F9" s="186"/>
      <c r="G9" s="187"/>
      <c r="H9" s="71"/>
      <c r="I9" s="71"/>
      <c r="J9" s="2"/>
      <c r="K9" s="2"/>
      <c r="L9" s="2"/>
      <c r="M9" s="2"/>
      <c r="N9" s="2"/>
      <c r="O9" s="2"/>
      <c r="P9" s="2"/>
    </row>
    <row r="10" spans="1:16" x14ac:dyDescent="0.25">
      <c r="A10" s="175" t="s">
        <v>160</v>
      </c>
      <c r="B10" s="176"/>
      <c r="C10" s="176"/>
      <c r="D10" s="176"/>
      <c r="E10" s="176"/>
      <c r="F10" s="176"/>
      <c r="G10" s="177"/>
    </row>
    <row r="11" spans="1:16" x14ac:dyDescent="0.25">
      <c r="A11" s="98">
        <v>98689</v>
      </c>
      <c r="B11" s="60" t="s">
        <v>108</v>
      </c>
      <c r="C11" s="99">
        <v>2</v>
      </c>
      <c r="D11" s="99" t="s">
        <v>13</v>
      </c>
      <c r="E11" s="64">
        <v>99.55</v>
      </c>
      <c r="F11" s="64">
        <f>E11*1.25</f>
        <v>124.4375</v>
      </c>
      <c r="G11" s="85">
        <f t="shared" ref="G11" si="0">ROUND(F11*C11,2)</f>
        <v>248.88</v>
      </c>
      <c r="I11" s="73"/>
    </row>
    <row r="12" spans="1:16" ht="32.25" customHeight="1" x14ac:dyDescent="0.25">
      <c r="A12" s="113">
        <v>101965</v>
      </c>
      <c r="B12" s="139" t="s">
        <v>130</v>
      </c>
      <c r="C12" s="65">
        <v>46</v>
      </c>
      <c r="D12" s="65" t="s">
        <v>8</v>
      </c>
      <c r="E12" s="103">
        <v>97.24</v>
      </c>
      <c r="F12" s="66">
        <f t="shared" ref="F12" si="1">E12*1.25</f>
        <v>121.55</v>
      </c>
      <c r="G12" s="88">
        <f>ROUND(F12*C12,2)</f>
        <v>5591.3</v>
      </c>
      <c r="I12" s="73"/>
    </row>
    <row r="13" spans="1:16" ht="15" customHeight="1" x14ac:dyDescent="0.25">
      <c r="A13" s="90">
        <v>96114</v>
      </c>
      <c r="B13" s="75" t="s">
        <v>95</v>
      </c>
      <c r="C13" s="65">
        <v>377.24</v>
      </c>
      <c r="D13" s="65" t="s">
        <v>8</v>
      </c>
      <c r="E13" s="66">
        <v>65.53</v>
      </c>
      <c r="F13" s="66">
        <f t="shared" ref="F13" si="2">E13*1.25</f>
        <v>81.912499999999994</v>
      </c>
      <c r="G13" s="88">
        <f>ROUND(F13*C13,2)</f>
        <v>30900.67</v>
      </c>
    </row>
    <row r="14" spans="1:16" x14ac:dyDescent="0.25">
      <c r="A14" s="114"/>
      <c r="B14" s="115"/>
      <c r="C14" s="115"/>
      <c r="D14" s="115"/>
      <c r="E14" s="115"/>
      <c r="F14" s="115"/>
      <c r="G14" s="141">
        <f>SUM(G11+G12+G13)</f>
        <v>36740.85</v>
      </c>
    </row>
    <row r="15" spans="1:16" x14ac:dyDescent="0.25">
      <c r="A15" s="175" t="s">
        <v>161</v>
      </c>
      <c r="B15" s="176"/>
      <c r="C15" s="176"/>
      <c r="D15" s="176"/>
      <c r="E15" s="176"/>
      <c r="F15" s="176"/>
      <c r="G15" s="177"/>
    </row>
    <row r="16" spans="1:16" ht="17.25" customHeight="1" x14ac:dyDescent="0.25">
      <c r="A16" s="89" t="s">
        <v>162</v>
      </c>
      <c r="B16" s="188" t="s">
        <v>17</v>
      </c>
      <c r="C16" s="188"/>
      <c r="D16" s="188"/>
      <c r="E16" s="188"/>
      <c r="F16" s="188"/>
      <c r="G16" s="189"/>
    </row>
    <row r="17" spans="1:7" ht="25.5" x14ac:dyDescent="0.25">
      <c r="A17" s="90" t="s">
        <v>15</v>
      </c>
      <c r="B17" s="63" t="s">
        <v>94</v>
      </c>
      <c r="C17" s="99">
        <v>1</v>
      </c>
      <c r="D17" s="99" t="s">
        <v>4</v>
      </c>
      <c r="E17" s="64">
        <v>2370</v>
      </c>
      <c r="F17" s="64">
        <f t="shared" ref="F17:F22" si="3">E17*1.25</f>
        <v>2962.5</v>
      </c>
      <c r="G17" s="85">
        <f t="shared" ref="G17:G22" si="4">ROUND(F17*C17,2)</f>
        <v>2962.5</v>
      </c>
    </row>
    <row r="18" spans="1:7" ht="25.5" x14ac:dyDescent="0.25">
      <c r="A18" s="90" t="s">
        <v>15</v>
      </c>
      <c r="B18" s="170" t="s">
        <v>227</v>
      </c>
      <c r="C18" s="174">
        <v>1</v>
      </c>
      <c r="D18" s="174" t="s">
        <v>4</v>
      </c>
      <c r="E18" s="64">
        <v>2480</v>
      </c>
      <c r="F18" s="64">
        <f t="shared" ref="F18" si="5">E18*1.25</f>
        <v>3100</v>
      </c>
      <c r="G18" s="85">
        <f t="shared" ref="G18" si="6">ROUND(F18*C18,2)</f>
        <v>3100</v>
      </c>
    </row>
    <row r="19" spans="1:7" x14ac:dyDescent="0.25">
      <c r="A19" s="90" t="s">
        <v>15</v>
      </c>
      <c r="B19" s="63" t="s">
        <v>93</v>
      </c>
      <c r="C19" s="99">
        <v>1</v>
      </c>
      <c r="D19" s="99" t="s">
        <v>4</v>
      </c>
      <c r="E19" s="64">
        <v>1300</v>
      </c>
      <c r="F19" s="64">
        <f t="shared" si="3"/>
        <v>1625</v>
      </c>
      <c r="G19" s="85">
        <f t="shared" si="4"/>
        <v>1625</v>
      </c>
    </row>
    <row r="20" spans="1:7" s="72" customFormat="1" ht="30" customHeight="1" x14ac:dyDescent="0.25">
      <c r="A20" s="90" t="s">
        <v>15</v>
      </c>
      <c r="B20" s="63" t="s">
        <v>212</v>
      </c>
      <c r="C20" s="99">
        <v>1</v>
      </c>
      <c r="D20" s="99" t="s">
        <v>4</v>
      </c>
      <c r="E20" s="64">
        <v>7300</v>
      </c>
      <c r="F20" s="64">
        <f t="shared" si="3"/>
        <v>9125</v>
      </c>
      <c r="G20" s="85">
        <f t="shared" si="4"/>
        <v>9125</v>
      </c>
    </row>
    <row r="21" spans="1:7" s="72" customFormat="1" ht="25.5" x14ac:dyDescent="0.25">
      <c r="A21" s="84">
        <v>90850</v>
      </c>
      <c r="B21" s="60" t="s">
        <v>86</v>
      </c>
      <c r="C21" s="59">
        <v>22</v>
      </c>
      <c r="D21" s="59" t="s">
        <v>4</v>
      </c>
      <c r="E21" s="61">
        <v>789.52</v>
      </c>
      <c r="F21" s="61">
        <f t="shared" si="3"/>
        <v>986.9</v>
      </c>
      <c r="G21" s="86">
        <f t="shared" si="4"/>
        <v>21711.8</v>
      </c>
    </row>
    <row r="22" spans="1:7" ht="25.5" x14ac:dyDescent="0.25">
      <c r="A22" s="84">
        <v>90831</v>
      </c>
      <c r="B22" s="60" t="s">
        <v>87</v>
      </c>
      <c r="C22" s="59">
        <v>22</v>
      </c>
      <c r="D22" s="59" t="s">
        <v>4</v>
      </c>
      <c r="E22" s="61">
        <v>115.21</v>
      </c>
      <c r="F22" s="61">
        <f t="shared" si="3"/>
        <v>144.01249999999999</v>
      </c>
      <c r="G22" s="86">
        <f t="shared" si="4"/>
        <v>3168.28</v>
      </c>
    </row>
    <row r="23" spans="1:7" x14ac:dyDescent="0.25">
      <c r="A23" s="196"/>
      <c r="B23" s="197"/>
      <c r="C23" s="197"/>
      <c r="D23" s="197"/>
      <c r="E23" s="197"/>
      <c r="F23" s="197"/>
      <c r="G23" s="198"/>
    </row>
    <row r="24" spans="1:7" s="72" customFormat="1" x14ac:dyDescent="0.25">
      <c r="A24" s="89" t="s">
        <v>163</v>
      </c>
      <c r="B24" s="188" t="s">
        <v>19</v>
      </c>
      <c r="C24" s="188"/>
      <c r="D24" s="188"/>
      <c r="E24" s="188"/>
      <c r="F24" s="188"/>
      <c r="G24" s="189"/>
    </row>
    <row r="25" spans="1:7" s="171" customFormat="1" ht="25.5" x14ac:dyDescent="0.25">
      <c r="A25" s="173" t="s">
        <v>15</v>
      </c>
      <c r="B25" s="168" t="s">
        <v>218</v>
      </c>
      <c r="C25" s="167">
        <v>2</v>
      </c>
      <c r="D25" s="167" t="s">
        <v>4</v>
      </c>
      <c r="E25" s="61">
        <v>3225</v>
      </c>
      <c r="F25" s="61">
        <f t="shared" ref="F25" si="7">E25*1.25</f>
        <v>4031.25</v>
      </c>
      <c r="G25" s="86">
        <f t="shared" ref="G25" si="8">ROUND(F25*C25,2)</f>
        <v>8062.5</v>
      </c>
    </row>
    <row r="26" spans="1:7" s="171" customFormat="1" ht="25.5" x14ac:dyDescent="0.25">
      <c r="A26" s="173" t="s">
        <v>15</v>
      </c>
      <c r="B26" s="168" t="s">
        <v>217</v>
      </c>
      <c r="C26" s="167">
        <v>2</v>
      </c>
      <c r="D26" s="167" t="s">
        <v>4</v>
      </c>
      <c r="E26" s="61">
        <v>3320</v>
      </c>
      <c r="F26" s="61">
        <f t="shared" ref="F26" si="9">E26*1.25</f>
        <v>4150</v>
      </c>
      <c r="G26" s="86">
        <f t="shared" ref="G26" si="10">ROUND(F26*C26,2)</f>
        <v>8300</v>
      </c>
    </row>
    <row r="27" spans="1:7" s="171" customFormat="1" ht="25.5" x14ac:dyDescent="0.25">
      <c r="A27" s="173" t="s">
        <v>15</v>
      </c>
      <c r="B27" s="168" t="s">
        <v>219</v>
      </c>
      <c r="C27" s="167">
        <v>2</v>
      </c>
      <c r="D27" s="167" t="s">
        <v>4</v>
      </c>
      <c r="E27" s="61">
        <v>3470</v>
      </c>
      <c r="F27" s="61">
        <f t="shared" ref="F27" si="11">E27*1.25</f>
        <v>4337.5</v>
      </c>
      <c r="G27" s="86">
        <f t="shared" ref="G27" si="12">ROUND(F27*C27,2)</f>
        <v>8675</v>
      </c>
    </row>
    <row r="28" spans="1:7" s="72" customFormat="1" ht="25.5" x14ac:dyDescent="0.25">
      <c r="A28" s="91" t="s">
        <v>15</v>
      </c>
      <c r="B28" s="60" t="s">
        <v>220</v>
      </c>
      <c r="C28" s="59">
        <v>2</v>
      </c>
      <c r="D28" s="59" t="s">
        <v>4</v>
      </c>
      <c r="E28" s="61">
        <v>2110</v>
      </c>
      <c r="F28" s="61">
        <f t="shared" ref="F28:F33" si="13">E28*1.25</f>
        <v>2637.5</v>
      </c>
      <c r="G28" s="86">
        <f t="shared" ref="G28:G33" si="14">ROUND(F28*C28,2)</f>
        <v>5275</v>
      </c>
    </row>
    <row r="29" spans="1:7" s="72" customFormat="1" ht="25.5" x14ac:dyDescent="0.25">
      <c r="A29" s="91" t="s">
        <v>15</v>
      </c>
      <c r="B29" s="60" t="s">
        <v>89</v>
      </c>
      <c r="C29" s="59">
        <v>3</v>
      </c>
      <c r="D29" s="59" t="s">
        <v>4</v>
      </c>
      <c r="E29" s="61">
        <v>330</v>
      </c>
      <c r="F29" s="61">
        <f t="shared" si="13"/>
        <v>412.5</v>
      </c>
      <c r="G29" s="86">
        <f t="shared" si="14"/>
        <v>1237.5</v>
      </c>
    </row>
    <row r="30" spans="1:7" s="72" customFormat="1" ht="25.5" x14ac:dyDescent="0.25">
      <c r="A30" s="91" t="s">
        <v>15</v>
      </c>
      <c r="B30" s="60" t="s">
        <v>90</v>
      </c>
      <c r="C30" s="59">
        <v>8</v>
      </c>
      <c r="D30" s="59" t="s">
        <v>4</v>
      </c>
      <c r="E30" s="61">
        <v>300</v>
      </c>
      <c r="F30" s="61">
        <f t="shared" si="13"/>
        <v>375</v>
      </c>
      <c r="G30" s="86">
        <f t="shared" si="14"/>
        <v>3000</v>
      </c>
    </row>
    <row r="31" spans="1:7" s="72" customFormat="1" ht="25.5" x14ac:dyDescent="0.25">
      <c r="A31" s="91" t="s">
        <v>15</v>
      </c>
      <c r="B31" s="60" t="s">
        <v>91</v>
      </c>
      <c r="C31" s="59">
        <v>6</v>
      </c>
      <c r="D31" s="59" t="s">
        <v>4</v>
      </c>
      <c r="E31" s="61">
        <v>760</v>
      </c>
      <c r="F31" s="61">
        <f t="shared" si="13"/>
        <v>950</v>
      </c>
      <c r="G31" s="86">
        <f t="shared" si="14"/>
        <v>5700</v>
      </c>
    </row>
    <row r="32" spans="1:7" x14ac:dyDescent="0.25">
      <c r="A32" s="91" t="s">
        <v>15</v>
      </c>
      <c r="B32" s="60" t="s">
        <v>105</v>
      </c>
      <c r="C32" s="59">
        <v>3</v>
      </c>
      <c r="D32" s="59" t="s">
        <v>4</v>
      </c>
      <c r="E32" s="61">
        <v>910</v>
      </c>
      <c r="F32" s="61">
        <f t="shared" si="13"/>
        <v>1137.5</v>
      </c>
      <c r="G32" s="86">
        <f t="shared" si="14"/>
        <v>3412.5</v>
      </c>
    </row>
    <row r="33" spans="1:7" ht="25.5" x14ac:dyDescent="0.25">
      <c r="A33" s="90" t="s">
        <v>15</v>
      </c>
      <c r="B33" s="63" t="s">
        <v>92</v>
      </c>
      <c r="C33" s="99">
        <v>6</v>
      </c>
      <c r="D33" s="99" t="s">
        <v>4</v>
      </c>
      <c r="E33" s="64">
        <v>815</v>
      </c>
      <c r="F33" s="64">
        <f t="shared" si="13"/>
        <v>1018.75</v>
      </c>
      <c r="G33" s="85">
        <f t="shared" si="14"/>
        <v>6112.5</v>
      </c>
    </row>
    <row r="34" spans="1:7" x14ac:dyDescent="0.25">
      <c r="A34" s="102"/>
      <c r="B34" s="178" t="s">
        <v>12</v>
      </c>
      <c r="C34" s="178"/>
      <c r="D34" s="178"/>
      <c r="E34" s="178"/>
      <c r="F34" s="178"/>
      <c r="G34" s="141">
        <f>SUM(G17+G19+G20+G21+G22+G28+G29+G30+G31+G32+G33+G27+G26+G25+G18)</f>
        <v>91467.58</v>
      </c>
    </row>
    <row r="35" spans="1:7" x14ac:dyDescent="0.25">
      <c r="A35" s="175" t="s">
        <v>226</v>
      </c>
      <c r="B35" s="176"/>
      <c r="C35" s="176"/>
      <c r="D35" s="176"/>
      <c r="E35" s="176"/>
      <c r="F35" s="176"/>
      <c r="G35" s="177"/>
    </row>
    <row r="36" spans="1:7" ht="38.25" x14ac:dyDescent="0.25">
      <c r="A36" s="84">
        <v>96369</v>
      </c>
      <c r="B36" s="60" t="s">
        <v>116</v>
      </c>
      <c r="C36" s="59">
        <v>165.5</v>
      </c>
      <c r="D36" s="59" t="s">
        <v>106</v>
      </c>
      <c r="E36" s="61">
        <v>180.46</v>
      </c>
      <c r="F36" s="61">
        <f t="shared" ref="F36" si="15">E36*1.25</f>
        <v>225.57500000000002</v>
      </c>
      <c r="G36" s="86">
        <f t="shared" ref="G36" si="16">ROUND(F36*C36,2)</f>
        <v>37332.660000000003</v>
      </c>
    </row>
    <row r="37" spans="1:7" ht="30" customHeight="1" x14ac:dyDescent="0.25">
      <c r="A37" s="172">
        <v>87473</v>
      </c>
      <c r="B37" s="168" t="s">
        <v>222</v>
      </c>
      <c r="C37" s="167">
        <v>6.6</v>
      </c>
      <c r="D37" s="167" t="s">
        <v>106</v>
      </c>
      <c r="E37" s="61">
        <v>64.930000000000007</v>
      </c>
      <c r="F37" s="61">
        <f t="shared" ref="F37" si="17">E37*1.25</f>
        <v>81.162500000000009</v>
      </c>
      <c r="G37" s="86">
        <f t="shared" ref="G37" si="18">ROUND(F37*C37,2)</f>
        <v>535.66999999999996</v>
      </c>
    </row>
    <row r="38" spans="1:7" ht="25.5" x14ac:dyDescent="0.25">
      <c r="A38" s="172">
        <v>87893</v>
      </c>
      <c r="B38" s="168" t="s">
        <v>223</v>
      </c>
      <c r="C38" s="167">
        <v>15</v>
      </c>
      <c r="D38" s="167" t="s">
        <v>106</v>
      </c>
      <c r="E38" s="61">
        <v>5.32</v>
      </c>
      <c r="F38" s="61">
        <f t="shared" ref="F38" si="19">E38*1.25</f>
        <v>6.65</v>
      </c>
      <c r="G38" s="86">
        <f>ROUND(F38*C38,2)</f>
        <v>99.75</v>
      </c>
    </row>
    <row r="39" spans="1:7" ht="25.5" x14ac:dyDescent="0.25">
      <c r="A39" s="172">
        <v>87528</v>
      </c>
      <c r="B39" s="168" t="s">
        <v>224</v>
      </c>
      <c r="C39" s="167">
        <v>15</v>
      </c>
      <c r="D39" s="167" t="s">
        <v>106</v>
      </c>
      <c r="E39" s="61">
        <v>26.18</v>
      </c>
      <c r="F39" s="61">
        <f t="shared" ref="F39" si="20">E39*1.25</f>
        <v>32.725000000000001</v>
      </c>
      <c r="G39" s="86">
        <f t="shared" ref="G39" si="21">ROUND(F39*C39,2)</f>
        <v>490.88</v>
      </c>
    </row>
    <row r="40" spans="1:7" x14ac:dyDescent="0.25">
      <c r="A40" s="172">
        <v>93187</v>
      </c>
      <c r="B40" s="168" t="s">
        <v>225</v>
      </c>
      <c r="C40" s="167">
        <v>6</v>
      </c>
      <c r="D40" s="167" t="s">
        <v>106</v>
      </c>
      <c r="E40" s="61">
        <v>82.44</v>
      </c>
      <c r="F40" s="61">
        <f t="shared" ref="F40" si="22">E40*1.25</f>
        <v>103.05</v>
      </c>
      <c r="G40" s="86">
        <f t="shared" ref="G40" si="23">ROUND(F40*C40,2)</f>
        <v>618.29999999999995</v>
      </c>
    </row>
    <row r="41" spans="1:7" x14ac:dyDescent="0.25">
      <c r="A41" s="172"/>
      <c r="B41" s="168"/>
      <c r="C41" s="167"/>
      <c r="D41" s="167"/>
      <c r="E41" s="61"/>
      <c r="F41" s="61"/>
      <c r="G41" s="86"/>
    </row>
    <row r="42" spans="1:7" x14ac:dyDescent="0.25">
      <c r="A42" s="140"/>
      <c r="B42" s="179" t="s">
        <v>12</v>
      </c>
      <c r="C42" s="180"/>
      <c r="D42" s="180"/>
      <c r="E42" s="180"/>
      <c r="F42" s="181"/>
      <c r="G42" s="141">
        <f>SUM(G36:G41)</f>
        <v>39077.26</v>
      </c>
    </row>
    <row r="43" spans="1:7" x14ac:dyDescent="0.25">
      <c r="A43" s="175" t="s">
        <v>164</v>
      </c>
      <c r="B43" s="176"/>
      <c r="C43" s="176"/>
      <c r="D43" s="176"/>
      <c r="E43" s="176"/>
      <c r="F43" s="176"/>
      <c r="G43" s="177"/>
    </row>
    <row r="44" spans="1:7" s="72" customFormat="1" x14ac:dyDescent="0.25">
      <c r="A44" s="92" t="s">
        <v>165</v>
      </c>
      <c r="B44" s="205"/>
      <c r="C44" s="206"/>
      <c r="D44" s="206"/>
      <c r="E44" s="206"/>
      <c r="F44" s="206"/>
      <c r="G44" s="207"/>
    </row>
    <row r="45" spans="1:7" s="72" customFormat="1" x14ac:dyDescent="0.25">
      <c r="A45" s="172" t="s">
        <v>15</v>
      </c>
      <c r="B45" s="168" t="s">
        <v>214</v>
      </c>
      <c r="C45" s="167">
        <v>18</v>
      </c>
      <c r="D45" s="167" t="s">
        <v>13</v>
      </c>
      <c r="E45" s="61">
        <v>66.67</v>
      </c>
      <c r="F45" s="61">
        <f t="shared" ref="F45" si="24">E45*1.25</f>
        <v>83.337500000000006</v>
      </c>
      <c r="G45" s="86">
        <f t="shared" ref="G45" si="25">ROUND(F45*C45,2)</f>
        <v>1500.08</v>
      </c>
    </row>
    <row r="46" spans="1:7" s="72" customFormat="1" ht="51" x14ac:dyDescent="0.25">
      <c r="A46" s="84" t="s">
        <v>15</v>
      </c>
      <c r="B46" s="60" t="s">
        <v>115</v>
      </c>
      <c r="C46" s="59">
        <v>12</v>
      </c>
      <c r="D46" s="59" t="s">
        <v>13</v>
      </c>
      <c r="E46" s="61">
        <v>220</v>
      </c>
      <c r="F46" s="61">
        <f t="shared" ref="F46:F53" si="26">E46*1.25</f>
        <v>275</v>
      </c>
      <c r="G46" s="86">
        <f>ROUND(F46*C46,2)</f>
        <v>3300</v>
      </c>
    </row>
    <row r="47" spans="1:7" s="72" customFormat="1" x14ac:dyDescent="0.25">
      <c r="A47" s="84" t="s">
        <v>97</v>
      </c>
      <c r="B47" s="60" t="s">
        <v>96</v>
      </c>
      <c r="C47" s="59">
        <v>3</v>
      </c>
      <c r="D47" s="59" t="s">
        <v>13</v>
      </c>
      <c r="E47" s="61">
        <v>240.8</v>
      </c>
      <c r="F47" s="61">
        <f t="shared" si="26"/>
        <v>301</v>
      </c>
      <c r="G47" s="86">
        <f t="shared" ref="G47:G53" si="27">ROUND(F47*C47,2)</f>
        <v>903</v>
      </c>
    </row>
    <row r="48" spans="1:7" s="72" customFormat="1" x14ac:dyDescent="0.25">
      <c r="A48" s="84" t="s">
        <v>14</v>
      </c>
      <c r="B48" s="60" t="s">
        <v>21</v>
      </c>
      <c r="C48" s="59">
        <v>5</v>
      </c>
      <c r="D48" s="59" t="s">
        <v>13</v>
      </c>
      <c r="E48" s="61">
        <v>215.05</v>
      </c>
      <c r="F48" s="61">
        <f t="shared" si="26"/>
        <v>268.8125</v>
      </c>
      <c r="G48" s="86">
        <f t="shared" si="27"/>
        <v>1344.06</v>
      </c>
    </row>
    <row r="49" spans="1:7" s="72" customFormat="1" ht="27.75" customHeight="1" x14ac:dyDescent="0.25">
      <c r="A49" s="84">
        <v>37539</v>
      </c>
      <c r="B49" s="60" t="s">
        <v>101</v>
      </c>
      <c r="C49" s="59">
        <v>11</v>
      </c>
      <c r="D49" s="59" t="s">
        <v>100</v>
      </c>
      <c r="E49" s="61">
        <v>15.93</v>
      </c>
      <c r="F49" s="61">
        <f t="shared" si="26"/>
        <v>19.912500000000001</v>
      </c>
      <c r="G49" s="86">
        <f t="shared" si="27"/>
        <v>219.04</v>
      </c>
    </row>
    <row r="50" spans="1:7" s="72" customFormat="1" ht="26.25" customHeight="1" x14ac:dyDescent="0.25">
      <c r="A50" s="84">
        <v>37557</v>
      </c>
      <c r="B50" s="60" t="s">
        <v>98</v>
      </c>
      <c r="C50" s="59">
        <v>4</v>
      </c>
      <c r="D50" s="62" t="s">
        <v>99</v>
      </c>
      <c r="E50" s="61">
        <v>9.52</v>
      </c>
      <c r="F50" s="61">
        <f t="shared" si="26"/>
        <v>11.899999999999999</v>
      </c>
      <c r="G50" s="86">
        <f t="shared" si="27"/>
        <v>47.6</v>
      </c>
    </row>
    <row r="51" spans="1:7" s="72" customFormat="1" x14ac:dyDescent="0.25">
      <c r="A51" s="84">
        <v>38774</v>
      </c>
      <c r="B51" s="60" t="s">
        <v>103</v>
      </c>
      <c r="C51" s="59">
        <v>9</v>
      </c>
      <c r="D51" s="62" t="s">
        <v>100</v>
      </c>
      <c r="E51" s="61">
        <v>23.61</v>
      </c>
      <c r="F51" s="61">
        <f t="shared" si="26"/>
        <v>29.512499999999999</v>
      </c>
      <c r="G51" s="86">
        <f t="shared" si="27"/>
        <v>265.61</v>
      </c>
    </row>
    <row r="52" spans="1:7" s="72" customFormat="1" x14ac:dyDescent="0.25">
      <c r="A52" s="84" t="s">
        <v>221</v>
      </c>
      <c r="B52" s="168" t="s">
        <v>213</v>
      </c>
      <c r="C52" s="167">
        <v>1</v>
      </c>
      <c r="D52" s="169" t="s">
        <v>100</v>
      </c>
      <c r="E52" s="61">
        <v>2750</v>
      </c>
      <c r="F52" s="61">
        <f t="shared" ref="F52" si="28">E52*1.25</f>
        <v>3437.5</v>
      </c>
      <c r="G52" s="86">
        <f t="shared" ref="G52" si="29">ROUND(F52*C52,2)</f>
        <v>3437.5</v>
      </c>
    </row>
    <row r="53" spans="1:7" s="72" customFormat="1" x14ac:dyDescent="0.25">
      <c r="A53" s="84">
        <v>101908</v>
      </c>
      <c r="B53" s="60" t="s">
        <v>102</v>
      </c>
      <c r="C53" s="59">
        <v>4</v>
      </c>
      <c r="D53" s="62" t="s">
        <v>100</v>
      </c>
      <c r="E53" s="61">
        <v>193.16</v>
      </c>
      <c r="F53" s="61">
        <f t="shared" si="26"/>
        <v>241.45</v>
      </c>
      <c r="G53" s="86">
        <f t="shared" si="27"/>
        <v>965.8</v>
      </c>
    </row>
    <row r="54" spans="1:7" x14ac:dyDescent="0.25">
      <c r="A54" s="98"/>
      <c r="B54" s="179" t="s">
        <v>12</v>
      </c>
      <c r="C54" s="180"/>
      <c r="D54" s="180"/>
      <c r="E54" s="180"/>
      <c r="F54" s="181"/>
      <c r="G54" s="142">
        <f>SUM(G46+G47+G48+G49+G50+G51+G53+G52+G45)</f>
        <v>11982.69</v>
      </c>
    </row>
    <row r="55" spans="1:7" x14ac:dyDescent="0.25">
      <c r="A55" s="196"/>
      <c r="B55" s="197"/>
      <c r="C55" s="197"/>
      <c r="D55" s="197"/>
      <c r="E55" s="197"/>
      <c r="F55" s="197"/>
      <c r="G55" s="198"/>
    </row>
    <row r="56" spans="1:7" x14ac:dyDescent="0.25">
      <c r="A56" s="175" t="s">
        <v>166</v>
      </c>
      <c r="B56" s="176"/>
      <c r="C56" s="176"/>
      <c r="D56" s="176"/>
      <c r="E56" s="176"/>
      <c r="F56" s="176"/>
      <c r="G56" s="177"/>
    </row>
    <row r="57" spans="1:7" s="72" customFormat="1" x14ac:dyDescent="0.25">
      <c r="A57" s="91" t="s">
        <v>15</v>
      </c>
      <c r="B57" s="60" t="s">
        <v>180</v>
      </c>
      <c r="C57" s="59">
        <v>1</v>
      </c>
      <c r="D57" s="59" t="s">
        <v>4</v>
      </c>
      <c r="E57" s="61">
        <v>11100</v>
      </c>
      <c r="F57" s="61">
        <f>E57*1.25</f>
        <v>13875</v>
      </c>
      <c r="G57" s="86">
        <f>ROUND(F57*C57,2)</f>
        <v>13875</v>
      </c>
    </row>
    <row r="58" spans="1:7" ht="26.25" customHeight="1" x14ac:dyDescent="0.25">
      <c r="A58" s="93" t="s">
        <v>117</v>
      </c>
      <c r="B58" s="60" t="s">
        <v>181</v>
      </c>
      <c r="C58" s="67">
        <v>11.88</v>
      </c>
      <c r="D58" s="67" t="s">
        <v>106</v>
      </c>
      <c r="E58" s="77">
        <v>129.88</v>
      </c>
      <c r="F58" s="77">
        <f t="shared" ref="F58" si="30">E58*1.25</f>
        <v>162.35</v>
      </c>
      <c r="G58" s="77">
        <f>F58*C58</f>
        <v>1928.7180000000001</v>
      </c>
    </row>
    <row r="59" spans="1:7" x14ac:dyDescent="0.25">
      <c r="A59" s="98"/>
      <c r="B59" s="179" t="s">
        <v>12</v>
      </c>
      <c r="C59" s="180"/>
      <c r="D59" s="180"/>
      <c r="E59" s="180"/>
      <c r="F59" s="181"/>
      <c r="G59" s="142">
        <f>SUM(G57:G58)</f>
        <v>15803.718000000001</v>
      </c>
    </row>
    <row r="60" spans="1:7" x14ac:dyDescent="0.25">
      <c r="A60" s="199"/>
      <c r="B60" s="200"/>
      <c r="C60" s="200"/>
      <c r="D60" s="200"/>
      <c r="E60" s="200"/>
      <c r="F60" s="200"/>
      <c r="G60" s="201"/>
    </row>
    <row r="61" spans="1:7" x14ac:dyDescent="0.25">
      <c r="A61" s="175" t="s">
        <v>167</v>
      </c>
      <c r="B61" s="176"/>
      <c r="C61" s="176"/>
      <c r="D61" s="176"/>
      <c r="E61" s="176"/>
      <c r="F61" s="176"/>
      <c r="G61" s="177"/>
    </row>
    <row r="62" spans="1:7" x14ac:dyDescent="0.25">
      <c r="A62" s="89" t="s">
        <v>168</v>
      </c>
      <c r="B62" s="182" t="s">
        <v>132</v>
      </c>
      <c r="C62" s="183"/>
      <c r="D62" s="183"/>
      <c r="E62" s="183"/>
      <c r="F62" s="183"/>
      <c r="G62" s="184"/>
    </row>
    <row r="63" spans="1:7" ht="40.5" customHeight="1" x14ac:dyDescent="0.25">
      <c r="A63" s="139">
        <v>98099</v>
      </c>
      <c r="B63" s="139" t="s">
        <v>169</v>
      </c>
      <c r="C63" s="139">
        <v>1</v>
      </c>
      <c r="D63" s="139" t="s">
        <v>100</v>
      </c>
      <c r="E63" s="77">
        <v>4200.7</v>
      </c>
      <c r="F63" s="77">
        <f t="shared" ref="F63:G64" si="31">E63*1.25</f>
        <v>5250.875</v>
      </c>
      <c r="G63" s="77">
        <f t="shared" si="31"/>
        <v>6563.59375</v>
      </c>
    </row>
    <row r="64" spans="1:7" ht="27.75" customHeight="1" x14ac:dyDescent="0.25">
      <c r="A64" s="139" t="s">
        <v>117</v>
      </c>
      <c r="B64" s="139" t="s">
        <v>188</v>
      </c>
      <c r="C64" s="139">
        <v>1</v>
      </c>
      <c r="D64" s="139" t="s">
        <v>99</v>
      </c>
      <c r="E64" s="77">
        <v>276.08999999999997</v>
      </c>
      <c r="F64" s="77">
        <f t="shared" si="31"/>
        <v>345.11249999999995</v>
      </c>
      <c r="G64" s="77">
        <f t="shared" si="31"/>
        <v>431.39062499999994</v>
      </c>
    </row>
    <row r="65" spans="1:7" x14ac:dyDescent="0.25">
      <c r="A65" s="89" t="s">
        <v>171</v>
      </c>
      <c r="B65" s="182" t="s">
        <v>29</v>
      </c>
      <c r="C65" s="183"/>
      <c r="D65" s="183"/>
      <c r="E65" s="183"/>
      <c r="F65" s="183"/>
      <c r="G65" s="184"/>
    </row>
    <row r="66" spans="1:7" ht="25.5" x14ac:dyDescent="0.25">
      <c r="A66" s="143" t="s">
        <v>23</v>
      </c>
      <c r="B66" s="139" t="s">
        <v>22</v>
      </c>
      <c r="C66" s="116">
        <v>3</v>
      </c>
      <c r="D66" s="116" t="s">
        <v>4</v>
      </c>
      <c r="E66" s="144">
        <v>128.27000000000001</v>
      </c>
      <c r="F66" s="144">
        <f t="shared" ref="F66:F80" si="32">E66*1.25</f>
        <v>160.33750000000001</v>
      </c>
      <c r="G66" s="145">
        <f t="shared" ref="G66:G72" si="33">ROUND(F66*C66,2)</f>
        <v>481.01</v>
      </c>
    </row>
    <row r="67" spans="1:7" ht="29.25" customHeight="1" x14ac:dyDescent="0.25">
      <c r="A67" s="84">
        <v>89800</v>
      </c>
      <c r="B67" s="60" t="s">
        <v>199</v>
      </c>
      <c r="C67" s="59">
        <v>16</v>
      </c>
      <c r="D67" s="59" t="s">
        <v>13</v>
      </c>
      <c r="E67" s="61">
        <v>26.08</v>
      </c>
      <c r="F67" s="61">
        <f t="shared" si="32"/>
        <v>32.599999999999994</v>
      </c>
      <c r="G67" s="86">
        <f t="shared" si="33"/>
        <v>521.6</v>
      </c>
    </row>
    <row r="68" spans="1:7" ht="29.25" customHeight="1" x14ac:dyDescent="0.25">
      <c r="A68" s="84">
        <v>89713</v>
      </c>
      <c r="B68" s="60" t="s">
        <v>200</v>
      </c>
      <c r="C68" s="59">
        <v>3</v>
      </c>
      <c r="D68" s="59" t="s">
        <v>13</v>
      </c>
      <c r="E68" s="61">
        <v>39.54</v>
      </c>
      <c r="F68" s="61">
        <f t="shared" si="32"/>
        <v>49.424999999999997</v>
      </c>
      <c r="G68" s="86">
        <f t="shared" si="33"/>
        <v>148.28</v>
      </c>
    </row>
    <row r="69" spans="1:7" ht="25.5" x14ac:dyDescent="0.25">
      <c r="A69" s="84">
        <v>89849</v>
      </c>
      <c r="B69" s="60" t="s">
        <v>201</v>
      </c>
      <c r="C69" s="59">
        <v>10</v>
      </c>
      <c r="D69" s="59" t="s">
        <v>13</v>
      </c>
      <c r="E69" s="61">
        <v>62.92</v>
      </c>
      <c r="F69" s="61">
        <f t="shared" si="32"/>
        <v>78.650000000000006</v>
      </c>
      <c r="G69" s="86">
        <f t="shared" si="33"/>
        <v>786.5</v>
      </c>
    </row>
    <row r="70" spans="1:7" ht="25.5" x14ac:dyDescent="0.25">
      <c r="A70" s="143">
        <v>89797</v>
      </c>
      <c r="B70" s="139" t="s">
        <v>198</v>
      </c>
      <c r="C70" s="116">
        <v>1</v>
      </c>
      <c r="D70" s="116" t="s">
        <v>4</v>
      </c>
      <c r="E70" s="144">
        <v>46.17</v>
      </c>
      <c r="F70" s="61">
        <f t="shared" ref="F70" si="34">E70*1.25</f>
        <v>57.712500000000006</v>
      </c>
      <c r="G70" s="86">
        <f t="shared" ref="G70" si="35">ROUND(F70*C70,2)</f>
        <v>57.71</v>
      </c>
    </row>
    <row r="71" spans="1:7" ht="25.5" x14ac:dyDescent="0.25">
      <c r="A71" s="84">
        <v>89590</v>
      </c>
      <c r="B71" s="60" t="s">
        <v>197</v>
      </c>
      <c r="C71" s="59">
        <v>1</v>
      </c>
      <c r="D71" s="59" t="s">
        <v>4</v>
      </c>
      <c r="E71" s="61">
        <v>146.37</v>
      </c>
      <c r="F71" s="61">
        <f t="shared" ref="F71" si="36">E71*1.25</f>
        <v>182.96250000000001</v>
      </c>
      <c r="G71" s="86">
        <f t="shared" ref="G71" si="37">ROUND(F71*C71,2)</f>
        <v>182.96</v>
      </c>
    </row>
    <row r="72" spans="1:7" ht="25.5" x14ac:dyDescent="0.25">
      <c r="A72" s="84">
        <v>89809</v>
      </c>
      <c r="B72" s="60" t="s">
        <v>196</v>
      </c>
      <c r="C72" s="59">
        <v>1</v>
      </c>
      <c r="D72" s="59" t="s">
        <v>4</v>
      </c>
      <c r="E72" s="61">
        <v>18.61</v>
      </c>
      <c r="F72" s="61">
        <f t="shared" si="32"/>
        <v>23.262499999999999</v>
      </c>
      <c r="G72" s="86">
        <f t="shared" si="33"/>
        <v>23.26</v>
      </c>
    </row>
    <row r="73" spans="1:7" x14ac:dyDescent="0.25">
      <c r="A73" s="84">
        <v>95547</v>
      </c>
      <c r="B73" s="60" t="s">
        <v>24</v>
      </c>
      <c r="C73" s="59">
        <v>5</v>
      </c>
      <c r="D73" s="59" t="s">
        <v>4</v>
      </c>
      <c r="E73" s="61">
        <v>36.799999999999997</v>
      </c>
      <c r="F73" s="61">
        <f t="shared" si="32"/>
        <v>46</v>
      </c>
      <c r="G73" s="86">
        <f t="shared" ref="G73" si="38">ROUND(F73*C73,2)</f>
        <v>230</v>
      </c>
    </row>
    <row r="74" spans="1:7" x14ac:dyDescent="0.25">
      <c r="A74" s="84">
        <v>95544</v>
      </c>
      <c r="B74" s="60" t="s">
        <v>25</v>
      </c>
      <c r="C74" s="59">
        <v>5</v>
      </c>
      <c r="D74" s="59" t="s">
        <v>4</v>
      </c>
      <c r="E74" s="61">
        <v>67.67</v>
      </c>
      <c r="F74" s="61">
        <f t="shared" si="32"/>
        <v>84.587500000000006</v>
      </c>
      <c r="G74" s="86">
        <f t="shared" ref="G74" si="39">ROUND(F74*C74,2)</f>
        <v>422.94</v>
      </c>
    </row>
    <row r="75" spans="1:7" x14ac:dyDescent="0.25">
      <c r="A75" s="84">
        <v>95542</v>
      </c>
      <c r="B75" s="60" t="s">
        <v>26</v>
      </c>
      <c r="C75" s="59">
        <v>5</v>
      </c>
      <c r="D75" s="59" t="s">
        <v>4</v>
      </c>
      <c r="E75" s="61">
        <v>53.41</v>
      </c>
      <c r="F75" s="61">
        <f t="shared" si="32"/>
        <v>66.762499999999989</v>
      </c>
      <c r="G75" s="86">
        <f t="shared" ref="G75" si="40">ROUND(F75*C75,2)</f>
        <v>333.81</v>
      </c>
    </row>
    <row r="76" spans="1:7" x14ac:dyDescent="0.25">
      <c r="A76" s="84">
        <v>86943</v>
      </c>
      <c r="B76" s="152" t="s">
        <v>107</v>
      </c>
      <c r="C76" s="59">
        <v>1</v>
      </c>
      <c r="D76" s="59" t="s">
        <v>4</v>
      </c>
      <c r="E76" s="61">
        <v>197.82</v>
      </c>
      <c r="F76" s="61">
        <f t="shared" si="32"/>
        <v>247.27499999999998</v>
      </c>
      <c r="G76" s="86">
        <f t="shared" ref="G76" si="41">ROUND(F76*C76,2)</f>
        <v>247.28</v>
      </c>
    </row>
    <row r="77" spans="1:7" x14ac:dyDescent="0.25">
      <c r="A77" s="84">
        <v>100860</v>
      </c>
      <c r="B77" s="60" t="s">
        <v>27</v>
      </c>
      <c r="C77" s="59">
        <v>1</v>
      </c>
      <c r="D77" s="59" t="s">
        <v>4</v>
      </c>
      <c r="E77" s="61">
        <v>76.25</v>
      </c>
      <c r="F77" s="61">
        <f t="shared" si="32"/>
        <v>95.3125</v>
      </c>
      <c r="G77" s="86">
        <f t="shared" ref="G77" si="42">ROUND(F77*C77,2)</f>
        <v>95.31</v>
      </c>
    </row>
    <row r="78" spans="1:7" x14ac:dyDescent="0.25">
      <c r="A78" s="84">
        <v>86909</v>
      </c>
      <c r="B78" s="60" t="s">
        <v>28</v>
      </c>
      <c r="C78" s="59">
        <v>3</v>
      </c>
      <c r="D78" s="59" t="s">
        <v>4</v>
      </c>
      <c r="E78" s="61">
        <v>150.91</v>
      </c>
      <c r="F78" s="61">
        <f t="shared" si="32"/>
        <v>188.63749999999999</v>
      </c>
      <c r="G78" s="86">
        <f t="shared" ref="G78:G79" si="43">ROUND(F78*C78,2)</f>
        <v>565.91</v>
      </c>
    </row>
    <row r="79" spans="1:7" x14ac:dyDescent="0.25">
      <c r="A79" s="84">
        <v>100856</v>
      </c>
      <c r="B79" s="60" t="s">
        <v>133</v>
      </c>
      <c r="C79" s="116">
        <v>10</v>
      </c>
      <c r="D79" s="59" t="s">
        <v>4</v>
      </c>
      <c r="E79" s="61">
        <v>35.119999999999997</v>
      </c>
      <c r="F79" s="61">
        <f t="shared" si="32"/>
        <v>43.9</v>
      </c>
      <c r="G79" s="86">
        <f t="shared" si="43"/>
        <v>439</v>
      </c>
    </row>
    <row r="80" spans="1:7" x14ac:dyDescent="0.25">
      <c r="A80" s="98">
        <v>86916</v>
      </c>
      <c r="B80" s="63" t="s">
        <v>88</v>
      </c>
      <c r="C80" s="99">
        <v>1</v>
      </c>
      <c r="D80" s="99" t="s">
        <v>4</v>
      </c>
      <c r="E80" s="64">
        <v>40.81</v>
      </c>
      <c r="F80" s="64">
        <f t="shared" si="32"/>
        <v>51.012500000000003</v>
      </c>
      <c r="G80" s="85">
        <f t="shared" ref="G80" si="44">ROUND(F80*C80,2)</f>
        <v>51.01</v>
      </c>
    </row>
    <row r="81" spans="1:7" x14ac:dyDescent="0.25">
      <c r="A81" s="98"/>
      <c r="B81" s="179" t="s">
        <v>12</v>
      </c>
      <c r="C81" s="180"/>
      <c r="D81" s="180"/>
      <c r="E81" s="180"/>
      <c r="F81" s="181"/>
      <c r="G81" s="142">
        <f>SUM(G66+G73+G74+G75+G76+G77+G79+G78+G80+G63+G64+G72+G71+G70+G69+G68+G67)</f>
        <v>11581.564375</v>
      </c>
    </row>
    <row r="82" spans="1:7" x14ac:dyDescent="0.25">
      <c r="A82" s="199"/>
      <c r="B82" s="200"/>
      <c r="C82" s="200"/>
      <c r="D82" s="200"/>
      <c r="E82" s="200"/>
      <c r="F82" s="200"/>
      <c r="G82" s="201"/>
    </row>
    <row r="83" spans="1:7" x14ac:dyDescent="0.25">
      <c r="A83" s="175" t="s">
        <v>172</v>
      </c>
      <c r="B83" s="176"/>
      <c r="C83" s="176"/>
      <c r="D83" s="176"/>
      <c r="E83" s="176"/>
      <c r="F83" s="176"/>
      <c r="G83" s="177"/>
    </row>
    <row r="84" spans="1:7" x14ac:dyDescent="0.25">
      <c r="A84" s="110"/>
      <c r="B84" s="111"/>
      <c r="C84" s="111"/>
      <c r="D84" s="111"/>
      <c r="E84" s="111"/>
      <c r="F84" s="111"/>
      <c r="G84" s="112"/>
    </row>
    <row r="85" spans="1:7" x14ac:dyDescent="0.25">
      <c r="A85" s="89" t="s">
        <v>16</v>
      </c>
      <c r="B85" s="182" t="s">
        <v>173</v>
      </c>
      <c r="C85" s="183"/>
      <c r="D85" s="183"/>
      <c r="E85" s="183"/>
      <c r="F85" s="183"/>
      <c r="G85" s="184"/>
    </row>
    <row r="86" spans="1:7" ht="25.5" x14ac:dyDescent="0.25">
      <c r="A86" s="113">
        <v>101510</v>
      </c>
      <c r="B86" s="60" t="s">
        <v>170</v>
      </c>
      <c r="C86" s="109">
        <v>1</v>
      </c>
      <c r="D86" s="109" t="s">
        <v>4</v>
      </c>
      <c r="E86" s="64">
        <v>1858.63</v>
      </c>
      <c r="F86" s="64">
        <f t="shared" ref="F86" si="45">E86*1.25</f>
        <v>2323.2875000000004</v>
      </c>
      <c r="G86" s="85">
        <f t="shared" ref="G86" si="46">ROUND(F86*C86,2)</f>
        <v>2323.29</v>
      </c>
    </row>
    <row r="87" spans="1:7" x14ac:dyDescent="0.25">
      <c r="A87" s="60"/>
      <c r="B87" s="60"/>
      <c r="C87" s="60"/>
      <c r="D87" s="60"/>
      <c r="E87" s="60"/>
      <c r="F87" s="60"/>
      <c r="G87" s="60"/>
    </row>
    <row r="88" spans="1:7" x14ac:dyDescent="0.25">
      <c r="A88" s="89" t="s">
        <v>18</v>
      </c>
      <c r="B88" s="182" t="s">
        <v>31</v>
      </c>
      <c r="C88" s="183"/>
      <c r="D88" s="183"/>
      <c r="E88" s="183"/>
      <c r="F88" s="183"/>
      <c r="G88" s="184"/>
    </row>
    <row r="89" spans="1:7" ht="25.5" x14ac:dyDescent="0.25">
      <c r="A89" s="98">
        <v>83463</v>
      </c>
      <c r="B89" s="60" t="s">
        <v>30</v>
      </c>
      <c r="C89" s="99">
        <v>4</v>
      </c>
      <c r="D89" s="99" t="s">
        <v>4</v>
      </c>
      <c r="E89" s="64">
        <v>500.11</v>
      </c>
      <c r="F89" s="64">
        <f t="shared" ref="F89" si="47">E89*1.25</f>
        <v>625.13750000000005</v>
      </c>
      <c r="G89" s="85">
        <f t="shared" ref="G89" si="48">ROUND(F89*C89,2)</f>
        <v>2500.5500000000002</v>
      </c>
    </row>
    <row r="90" spans="1:7" x14ac:dyDescent="0.25">
      <c r="A90" s="199"/>
      <c r="B90" s="200"/>
      <c r="C90" s="200"/>
      <c r="D90" s="200"/>
      <c r="E90" s="200"/>
      <c r="F90" s="200"/>
      <c r="G90" s="201"/>
    </row>
    <row r="91" spans="1:7" x14ac:dyDescent="0.25">
      <c r="A91" s="89" t="s">
        <v>20</v>
      </c>
      <c r="B91" s="182" t="s">
        <v>32</v>
      </c>
      <c r="C91" s="183"/>
      <c r="D91" s="183"/>
      <c r="E91" s="183"/>
      <c r="F91" s="183"/>
      <c r="G91" s="184"/>
    </row>
    <row r="92" spans="1:7" x14ac:dyDescent="0.25">
      <c r="A92" s="98">
        <v>101890</v>
      </c>
      <c r="B92" s="63" t="s">
        <v>33</v>
      </c>
      <c r="C92" s="99">
        <v>21</v>
      </c>
      <c r="D92" s="99" t="s">
        <v>4</v>
      </c>
      <c r="E92" s="64">
        <v>15.73</v>
      </c>
      <c r="F92" s="64">
        <f t="shared" ref="F92" si="49">E92*1.25</f>
        <v>19.662500000000001</v>
      </c>
      <c r="G92" s="85">
        <f t="shared" ref="G92" si="50">ROUND(F92*C92,2)</f>
        <v>412.91</v>
      </c>
    </row>
    <row r="93" spans="1:7" x14ac:dyDescent="0.25">
      <c r="A93" s="98">
        <v>101891</v>
      </c>
      <c r="B93" s="63" t="s">
        <v>104</v>
      </c>
      <c r="C93" s="99">
        <v>2</v>
      </c>
      <c r="D93" s="99" t="s">
        <v>4</v>
      </c>
      <c r="E93" s="64">
        <v>23.16</v>
      </c>
      <c r="F93" s="64">
        <f t="shared" ref="F93" si="51">E93*1.25</f>
        <v>28.95</v>
      </c>
      <c r="G93" s="85">
        <f t="shared" ref="G93" si="52">ROUND(F93*C93,2)</f>
        <v>57.9</v>
      </c>
    </row>
    <row r="94" spans="1:7" x14ac:dyDescent="0.25">
      <c r="A94" s="98">
        <v>101893</v>
      </c>
      <c r="B94" s="63" t="s">
        <v>34</v>
      </c>
      <c r="C94" s="99">
        <v>2</v>
      </c>
      <c r="D94" s="99" t="s">
        <v>4</v>
      </c>
      <c r="E94" s="64">
        <v>92.4</v>
      </c>
      <c r="F94" s="64">
        <f t="shared" ref="F94" si="53">E94*1.25</f>
        <v>115.5</v>
      </c>
      <c r="G94" s="85">
        <f t="shared" ref="G94" si="54">ROUND(F94*C94,2)</f>
        <v>231</v>
      </c>
    </row>
    <row r="95" spans="1:7" x14ac:dyDescent="0.25">
      <c r="A95" s="98">
        <v>101894</v>
      </c>
      <c r="B95" s="63" t="s">
        <v>35</v>
      </c>
      <c r="C95" s="99">
        <v>3</v>
      </c>
      <c r="D95" s="99" t="s">
        <v>4</v>
      </c>
      <c r="E95" s="64">
        <v>150.65</v>
      </c>
      <c r="F95" s="64">
        <f t="shared" ref="F95" si="55">E95*1.25</f>
        <v>188.3125</v>
      </c>
      <c r="G95" s="85">
        <f t="shared" ref="G95" si="56">ROUND(F95*C95,2)</f>
        <v>564.94000000000005</v>
      </c>
    </row>
    <row r="96" spans="1:7" x14ac:dyDescent="0.25">
      <c r="A96" s="199"/>
      <c r="B96" s="200"/>
      <c r="C96" s="200"/>
      <c r="D96" s="200"/>
      <c r="E96" s="200"/>
      <c r="F96" s="200"/>
      <c r="G96" s="201"/>
    </row>
    <row r="97" spans="1:7" x14ac:dyDescent="0.25">
      <c r="A97" s="89" t="s">
        <v>174</v>
      </c>
      <c r="B97" s="182" t="s">
        <v>36</v>
      </c>
      <c r="C97" s="183"/>
      <c r="D97" s="183"/>
      <c r="E97" s="183"/>
      <c r="F97" s="183"/>
      <c r="G97" s="184"/>
    </row>
    <row r="98" spans="1:7" s="107" customFormat="1" x14ac:dyDescent="0.25">
      <c r="A98" s="84">
        <v>91844</v>
      </c>
      <c r="B98" s="60" t="s">
        <v>37</v>
      </c>
      <c r="C98" s="59">
        <v>348</v>
      </c>
      <c r="D98" s="59" t="s">
        <v>13</v>
      </c>
      <c r="E98" s="61">
        <v>4.1399999999999997</v>
      </c>
      <c r="F98" s="61">
        <f t="shared" ref="F98:F99" si="57">E98*1.25</f>
        <v>5.1749999999999998</v>
      </c>
      <c r="G98" s="86">
        <f t="shared" ref="G98:G99" si="58">ROUND(F98*C98,2)</f>
        <v>1800.9</v>
      </c>
    </row>
    <row r="99" spans="1:7" s="107" customFormat="1" ht="23.25" customHeight="1" x14ac:dyDescent="0.25">
      <c r="A99" s="84">
        <v>91846</v>
      </c>
      <c r="B99" s="60" t="s">
        <v>38</v>
      </c>
      <c r="C99" s="59">
        <v>15.12</v>
      </c>
      <c r="D99" s="59" t="s">
        <v>13</v>
      </c>
      <c r="E99" s="61">
        <v>5.79</v>
      </c>
      <c r="F99" s="61">
        <f t="shared" si="57"/>
        <v>7.2374999999999998</v>
      </c>
      <c r="G99" s="86">
        <f t="shared" si="58"/>
        <v>109.43</v>
      </c>
    </row>
    <row r="100" spans="1:7" x14ac:dyDescent="0.25">
      <c r="A100" s="199"/>
      <c r="B100" s="200"/>
      <c r="C100" s="200"/>
      <c r="D100" s="200"/>
      <c r="E100" s="200"/>
      <c r="F100" s="200"/>
      <c r="G100" s="201"/>
    </row>
    <row r="101" spans="1:7" x14ac:dyDescent="0.25">
      <c r="A101" s="89" t="s">
        <v>175</v>
      </c>
      <c r="B101" s="182" t="s">
        <v>39</v>
      </c>
      <c r="C101" s="183"/>
      <c r="D101" s="183"/>
      <c r="E101" s="183"/>
      <c r="F101" s="183"/>
      <c r="G101" s="184"/>
    </row>
    <row r="102" spans="1:7" x14ac:dyDescent="0.25">
      <c r="A102" s="105">
        <v>91925</v>
      </c>
      <c r="B102" s="63" t="s">
        <v>136</v>
      </c>
      <c r="C102" s="106">
        <v>542.77</v>
      </c>
      <c r="D102" s="106" t="s">
        <v>13</v>
      </c>
      <c r="E102" s="64">
        <v>3.92</v>
      </c>
      <c r="F102" s="64">
        <f t="shared" ref="F102:F104" si="59">E102*1.25</f>
        <v>4.9000000000000004</v>
      </c>
      <c r="G102" s="85">
        <f t="shared" ref="G102:G104" si="60">ROUND(F102*C102,2)</f>
        <v>2659.57</v>
      </c>
    </row>
    <row r="103" spans="1:7" x14ac:dyDescent="0.25">
      <c r="A103" s="105">
        <v>91927</v>
      </c>
      <c r="B103" s="63" t="s">
        <v>137</v>
      </c>
      <c r="C103" s="106">
        <v>822</v>
      </c>
      <c r="D103" s="106" t="s">
        <v>13</v>
      </c>
      <c r="E103" s="64">
        <v>5.3</v>
      </c>
      <c r="F103" s="64">
        <f t="shared" si="59"/>
        <v>6.625</v>
      </c>
      <c r="G103" s="85">
        <f t="shared" si="60"/>
        <v>5445.75</v>
      </c>
    </row>
    <row r="104" spans="1:7" x14ac:dyDescent="0.25">
      <c r="A104" s="105">
        <v>91931</v>
      </c>
      <c r="B104" s="63" t="s">
        <v>138</v>
      </c>
      <c r="C104" s="106">
        <v>50</v>
      </c>
      <c r="D104" s="106" t="s">
        <v>13</v>
      </c>
      <c r="E104" s="64">
        <v>10.130000000000001</v>
      </c>
      <c r="F104" s="64">
        <f t="shared" si="59"/>
        <v>12.662500000000001</v>
      </c>
      <c r="G104" s="85">
        <f t="shared" si="60"/>
        <v>633.13</v>
      </c>
    </row>
    <row r="105" spans="1:7" x14ac:dyDescent="0.25">
      <c r="A105" s="166">
        <v>91933</v>
      </c>
      <c r="B105" s="170" t="s">
        <v>216</v>
      </c>
      <c r="C105" s="174">
        <v>15</v>
      </c>
      <c r="D105" s="174" t="s">
        <v>13</v>
      </c>
      <c r="E105" s="64">
        <v>15.98</v>
      </c>
      <c r="F105" s="64">
        <f t="shared" ref="F105" si="61">E105*1.25</f>
        <v>19.975000000000001</v>
      </c>
      <c r="G105" s="85">
        <f t="shared" ref="G105" si="62">ROUND(F105*C105,2)</f>
        <v>299.63</v>
      </c>
    </row>
    <row r="106" spans="1:7" x14ac:dyDescent="0.25">
      <c r="A106" s="199"/>
      <c r="B106" s="200"/>
      <c r="C106" s="200"/>
      <c r="D106" s="200"/>
      <c r="E106" s="200"/>
      <c r="F106" s="200"/>
      <c r="G106" s="201"/>
    </row>
    <row r="107" spans="1:7" x14ac:dyDescent="0.25">
      <c r="A107" s="89" t="s">
        <v>176</v>
      </c>
      <c r="B107" s="182" t="s">
        <v>40</v>
      </c>
      <c r="C107" s="183"/>
      <c r="D107" s="183"/>
      <c r="E107" s="183"/>
      <c r="F107" s="183"/>
      <c r="G107" s="184"/>
    </row>
    <row r="108" spans="1:7" s="107" customFormat="1" x14ac:dyDescent="0.25">
      <c r="A108" s="84">
        <v>91997</v>
      </c>
      <c r="B108" s="60" t="s">
        <v>41</v>
      </c>
      <c r="C108" s="59">
        <v>29</v>
      </c>
      <c r="D108" s="59" t="s">
        <v>4</v>
      </c>
      <c r="E108" s="61">
        <v>27.15</v>
      </c>
      <c r="F108" s="61">
        <f t="shared" ref="F108" si="63">E108*1.25</f>
        <v>33.9375</v>
      </c>
      <c r="G108" s="86">
        <f t="shared" ref="G108" si="64">ROUND(F108*C108,2)</f>
        <v>984.19</v>
      </c>
    </row>
    <row r="109" spans="1:7" s="107" customFormat="1" x14ac:dyDescent="0.25">
      <c r="A109" s="84">
        <v>91953</v>
      </c>
      <c r="B109" s="60" t="s">
        <v>42</v>
      </c>
      <c r="C109" s="59">
        <v>4</v>
      </c>
      <c r="D109" s="59" t="s">
        <v>4</v>
      </c>
      <c r="E109" s="61">
        <v>21.222000000000001</v>
      </c>
      <c r="F109" s="61">
        <f t="shared" ref="F109" si="65">E109*1.25</f>
        <v>26.527500000000003</v>
      </c>
      <c r="G109" s="86">
        <f t="shared" ref="G109" si="66">ROUND(F109*C109,2)</f>
        <v>106.11</v>
      </c>
    </row>
    <row r="110" spans="1:7" s="107" customFormat="1" ht="29.25" customHeight="1" x14ac:dyDescent="0.25">
      <c r="A110" s="84">
        <v>92023</v>
      </c>
      <c r="B110" s="60" t="s">
        <v>43</v>
      </c>
      <c r="C110" s="59">
        <v>13</v>
      </c>
      <c r="D110" s="59" t="s">
        <v>4</v>
      </c>
      <c r="E110" s="61">
        <v>37.44</v>
      </c>
      <c r="F110" s="61">
        <f t="shared" ref="F110:F113" si="67">E110*1.25</f>
        <v>46.8</v>
      </c>
      <c r="G110" s="86">
        <f t="shared" ref="G110:G113" si="68">ROUND(F110*C110,2)</f>
        <v>608.4</v>
      </c>
    </row>
    <row r="111" spans="1:7" s="107" customFormat="1" ht="29.25" customHeight="1" x14ac:dyDescent="0.25">
      <c r="A111" s="84">
        <v>92029</v>
      </c>
      <c r="B111" s="60" t="s">
        <v>134</v>
      </c>
      <c r="C111" s="59">
        <v>4</v>
      </c>
      <c r="D111" s="59" t="s">
        <v>4</v>
      </c>
      <c r="E111" s="61">
        <v>42.37</v>
      </c>
      <c r="F111" s="61">
        <f t="shared" si="67"/>
        <v>52.962499999999999</v>
      </c>
      <c r="G111" s="86">
        <f t="shared" si="68"/>
        <v>211.85</v>
      </c>
    </row>
    <row r="112" spans="1:7" s="107" customFormat="1" ht="29.25" customHeight="1" x14ac:dyDescent="0.25">
      <c r="A112" s="84" t="s">
        <v>117</v>
      </c>
      <c r="B112" s="60" t="s">
        <v>118</v>
      </c>
      <c r="C112" s="59">
        <v>53</v>
      </c>
      <c r="D112" s="59" t="s">
        <v>4</v>
      </c>
      <c r="E112" s="61">
        <v>70.28</v>
      </c>
      <c r="F112" s="61">
        <f t="shared" ref="F112" si="69">E112*1.25</f>
        <v>87.85</v>
      </c>
      <c r="G112" s="86">
        <f>F112*C112</f>
        <v>4656.0499999999993</v>
      </c>
    </row>
    <row r="113" spans="1:7" s="107" customFormat="1" ht="29.25" customHeight="1" x14ac:dyDescent="0.25">
      <c r="A113" s="84">
        <v>97595</v>
      </c>
      <c r="B113" s="60" t="s">
        <v>195</v>
      </c>
      <c r="C113" s="59">
        <v>1</v>
      </c>
      <c r="D113" s="59" t="s">
        <v>4</v>
      </c>
      <c r="E113" s="61">
        <v>79.069999999999993</v>
      </c>
      <c r="F113" s="61">
        <f t="shared" si="67"/>
        <v>98.837499999999991</v>
      </c>
      <c r="G113" s="86">
        <f t="shared" si="68"/>
        <v>98.84</v>
      </c>
    </row>
    <row r="114" spans="1:7" s="107" customFormat="1" ht="30" customHeight="1" x14ac:dyDescent="0.25">
      <c r="A114" s="84">
        <v>97598</v>
      </c>
      <c r="B114" s="60" t="s">
        <v>135</v>
      </c>
      <c r="C114" s="59">
        <v>3</v>
      </c>
      <c r="D114" s="59" t="s">
        <v>4</v>
      </c>
      <c r="E114" s="61">
        <v>51.45</v>
      </c>
      <c r="F114" s="61">
        <f t="shared" ref="F114" si="70">E114*1.25</f>
        <v>64.3125</v>
      </c>
      <c r="G114" s="86">
        <f t="shared" ref="G114" si="71">ROUND(F114*C114,2)</f>
        <v>192.94</v>
      </c>
    </row>
    <row r="115" spans="1:7" s="107" customFormat="1" x14ac:dyDescent="0.25">
      <c r="A115" s="143"/>
      <c r="B115" s="139"/>
      <c r="C115" s="116"/>
      <c r="D115" s="116" t="s">
        <v>4</v>
      </c>
      <c r="E115" s="144"/>
      <c r="F115" s="144">
        <f t="shared" ref="F115" si="72">E115*1.25</f>
        <v>0</v>
      </c>
      <c r="G115" s="145">
        <f t="shared" ref="G115" si="73">ROUND(F115*C115,2)</f>
        <v>0</v>
      </c>
    </row>
    <row r="116" spans="1:7" x14ac:dyDescent="0.25">
      <c r="A116" s="98"/>
      <c r="B116" s="179" t="s">
        <v>12</v>
      </c>
      <c r="C116" s="180"/>
      <c r="D116" s="180"/>
      <c r="E116" s="180"/>
      <c r="F116" s="181"/>
      <c r="G116" s="142">
        <f>SUM(G114+G105+G111+G110+G109+G108+G104+G103+G102+G99+G98+G95+G94+G93+G92+G89+G86+G113+G112)</f>
        <v>23897.38</v>
      </c>
    </row>
    <row r="117" spans="1:7" x14ac:dyDescent="0.25">
      <c r="A117" s="199"/>
      <c r="B117" s="200"/>
      <c r="C117" s="200"/>
      <c r="D117" s="200"/>
      <c r="E117" s="200"/>
      <c r="F117" s="200"/>
      <c r="G117" s="201"/>
    </row>
    <row r="118" spans="1:7" x14ac:dyDescent="0.25">
      <c r="A118" s="175" t="s">
        <v>177</v>
      </c>
      <c r="B118" s="176"/>
      <c r="C118" s="176"/>
      <c r="D118" s="176"/>
      <c r="E118" s="176"/>
      <c r="F118" s="176"/>
      <c r="G118" s="177"/>
    </row>
    <row r="119" spans="1:7" x14ac:dyDescent="0.25">
      <c r="A119" s="163">
        <v>4051</v>
      </c>
      <c r="B119" s="60" t="s">
        <v>215</v>
      </c>
      <c r="C119" s="59">
        <v>868.98</v>
      </c>
      <c r="D119" s="59" t="s">
        <v>8</v>
      </c>
      <c r="E119" s="61">
        <v>7.93</v>
      </c>
      <c r="F119" s="64">
        <f>E119*1.25</f>
        <v>9.9124999999999996</v>
      </c>
      <c r="G119" s="86">
        <f t="shared" ref="G119:G125" si="74">ROUND(F119*C119,2)</f>
        <v>8613.76</v>
      </c>
    </row>
    <row r="120" spans="1:7" s="72" customFormat="1" x14ac:dyDescent="0.25">
      <c r="A120" s="163">
        <v>88494</v>
      </c>
      <c r="B120" s="60" t="s">
        <v>139</v>
      </c>
      <c r="C120" s="59">
        <v>377.24</v>
      </c>
      <c r="D120" s="59" t="s">
        <v>8</v>
      </c>
      <c r="E120" s="61">
        <v>15.69</v>
      </c>
      <c r="F120" s="61">
        <f t="shared" ref="F120:F121" si="75">E120*1.25</f>
        <v>19.612500000000001</v>
      </c>
      <c r="G120" s="86">
        <f t="shared" si="74"/>
        <v>7398.62</v>
      </c>
    </row>
    <row r="121" spans="1:7" s="72" customFormat="1" x14ac:dyDescent="0.25">
      <c r="A121" s="117">
        <v>88488</v>
      </c>
      <c r="B121" s="164" t="s">
        <v>142</v>
      </c>
      <c r="C121" s="59">
        <v>377.24</v>
      </c>
      <c r="D121" s="59" t="s">
        <v>106</v>
      </c>
      <c r="E121" s="61">
        <v>17.09</v>
      </c>
      <c r="F121" s="61">
        <f t="shared" si="75"/>
        <v>21.362500000000001</v>
      </c>
      <c r="G121" s="86">
        <f t="shared" si="74"/>
        <v>8058.79</v>
      </c>
    </row>
    <row r="122" spans="1:7" x14ac:dyDescent="0.25">
      <c r="A122" s="98">
        <v>88485</v>
      </c>
      <c r="B122" s="60" t="s">
        <v>46</v>
      </c>
      <c r="C122" s="99">
        <v>1345.67</v>
      </c>
      <c r="D122" s="99" t="s">
        <v>8</v>
      </c>
      <c r="E122" s="64">
        <v>2</v>
      </c>
      <c r="F122" s="64">
        <f t="shared" ref="F122:F123" si="76">E122*1.25</f>
        <v>2.5</v>
      </c>
      <c r="G122" s="85">
        <f t="shared" si="74"/>
        <v>3364.18</v>
      </c>
    </row>
    <row r="123" spans="1:7" x14ac:dyDescent="0.25">
      <c r="A123" s="113">
        <v>88489</v>
      </c>
      <c r="B123" s="60" t="s">
        <v>44</v>
      </c>
      <c r="C123" s="109">
        <v>1722.91</v>
      </c>
      <c r="D123" s="109" t="s">
        <v>8</v>
      </c>
      <c r="E123" s="64">
        <v>13.16</v>
      </c>
      <c r="F123" s="64">
        <f t="shared" si="76"/>
        <v>16.45</v>
      </c>
      <c r="G123" s="85">
        <f t="shared" si="74"/>
        <v>28341.87</v>
      </c>
    </row>
    <row r="124" spans="1:7" x14ac:dyDescent="0.25">
      <c r="A124" s="118" t="s">
        <v>117</v>
      </c>
      <c r="B124" s="146" t="s">
        <v>140</v>
      </c>
      <c r="C124" s="109">
        <v>377.24</v>
      </c>
      <c r="D124" s="109" t="s">
        <v>141</v>
      </c>
      <c r="E124" s="64">
        <v>20</v>
      </c>
      <c r="F124" s="64">
        <f t="shared" ref="F124" si="77">E124*1.25</f>
        <v>25</v>
      </c>
      <c r="G124" s="85">
        <f t="shared" si="74"/>
        <v>9431</v>
      </c>
    </row>
    <row r="125" spans="1:7" x14ac:dyDescent="0.25">
      <c r="A125" s="118" t="s">
        <v>117</v>
      </c>
      <c r="B125" s="146" t="s">
        <v>143</v>
      </c>
      <c r="C125" s="106">
        <v>5.46</v>
      </c>
      <c r="D125" s="106" t="s">
        <v>8</v>
      </c>
      <c r="E125" s="64">
        <v>84.57</v>
      </c>
      <c r="F125" s="64">
        <f t="shared" ref="F125" si="78">E125*1.25</f>
        <v>105.71249999999999</v>
      </c>
      <c r="G125" s="85">
        <f t="shared" si="74"/>
        <v>577.19000000000005</v>
      </c>
    </row>
    <row r="126" spans="1:7" x14ac:dyDescent="0.25">
      <c r="A126" s="98"/>
      <c r="B126" s="179" t="s">
        <v>12</v>
      </c>
      <c r="C126" s="180"/>
      <c r="D126" s="180"/>
      <c r="E126" s="180"/>
      <c r="F126" s="181"/>
      <c r="G126" s="142">
        <f>SUM(G119:G125)</f>
        <v>65785.41</v>
      </c>
    </row>
    <row r="127" spans="1:7" x14ac:dyDescent="0.25">
      <c r="A127" s="108"/>
      <c r="B127" s="147"/>
      <c r="C127" s="147"/>
      <c r="D127" s="147"/>
      <c r="E127" s="147"/>
      <c r="F127" s="147"/>
      <c r="G127" s="149"/>
    </row>
    <row r="128" spans="1:7" x14ac:dyDescent="0.25">
      <c r="A128" s="175" t="s">
        <v>178</v>
      </c>
      <c r="B128" s="176"/>
      <c r="C128" s="176"/>
      <c r="D128" s="176"/>
      <c r="E128" s="176"/>
      <c r="F128" s="176"/>
      <c r="G128" s="177"/>
    </row>
    <row r="129" spans="1:7" ht="25.5" x14ac:dyDescent="0.25">
      <c r="A129" s="100">
        <v>92399</v>
      </c>
      <c r="B129" s="63" t="s">
        <v>131</v>
      </c>
      <c r="C129" s="101">
        <v>72</v>
      </c>
      <c r="D129" s="101" t="s">
        <v>8</v>
      </c>
      <c r="E129" s="104">
        <v>53.82</v>
      </c>
      <c r="F129" s="64">
        <f t="shared" ref="F129" si="79">E129*1.25</f>
        <v>67.275000000000006</v>
      </c>
      <c r="G129" s="142">
        <f>SUM(F129*C129)</f>
        <v>4843.8</v>
      </c>
    </row>
    <row r="130" spans="1:7" x14ac:dyDescent="0.25">
      <c r="A130" s="175" t="s">
        <v>179</v>
      </c>
      <c r="B130" s="176"/>
      <c r="C130" s="176"/>
      <c r="D130" s="176"/>
      <c r="E130" s="176"/>
      <c r="F130" s="176"/>
      <c r="G130" s="177"/>
    </row>
    <row r="131" spans="1:7" x14ac:dyDescent="0.25">
      <c r="A131" s="87">
        <v>9537</v>
      </c>
      <c r="B131" s="76" t="s">
        <v>45</v>
      </c>
      <c r="C131" s="65">
        <v>501</v>
      </c>
      <c r="D131" s="65" t="s">
        <v>8</v>
      </c>
      <c r="E131" s="66">
        <v>2.08</v>
      </c>
      <c r="F131" s="66">
        <f t="shared" ref="F131" si="80">E131*1.25</f>
        <v>2.6</v>
      </c>
      <c r="G131" s="88">
        <f t="shared" ref="G131" si="81">ROUND(F131*C131,2)</f>
        <v>1302.5999999999999</v>
      </c>
    </row>
    <row r="132" spans="1:7" x14ac:dyDescent="0.25">
      <c r="A132" s="98"/>
      <c r="B132" s="179" t="s">
        <v>12</v>
      </c>
      <c r="C132" s="180"/>
      <c r="D132" s="180"/>
      <c r="E132" s="180"/>
      <c r="F132" s="181"/>
      <c r="G132" s="142">
        <f>SUM(G131:G131)</f>
        <v>1302.5999999999999</v>
      </c>
    </row>
    <row r="133" spans="1:7" x14ac:dyDescent="0.25">
      <c r="A133" s="199"/>
      <c r="B133" s="200"/>
      <c r="C133" s="200"/>
      <c r="D133" s="200"/>
      <c r="E133" s="200"/>
      <c r="F133" s="200"/>
      <c r="G133" s="201"/>
    </row>
    <row r="134" spans="1:7" x14ac:dyDescent="0.25">
      <c r="A134" s="208" t="s">
        <v>47</v>
      </c>
      <c r="B134" s="209"/>
      <c r="C134" s="209"/>
      <c r="D134" s="209"/>
      <c r="E134" s="209"/>
      <c r="F134" s="210"/>
      <c r="G134" s="142">
        <f>SUM(G132+G129+G126+G81+G59+G54+G42+G34+G14+G116)</f>
        <v>302482.85237500002</v>
      </c>
    </row>
    <row r="135" spans="1:7" x14ac:dyDescent="0.25">
      <c r="A135" s="190"/>
      <c r="B135" s="191"/>
      <c r="C135" s="191"/>
      <c r="D135" s="191"/>
      <c r="E135" s="191"/>
      <c r="F135" s="191"/>
      <c r="G135" s="192"/>
    </row>
    <row r="136" spans="1:7" ht="26.25" customHeight="1" x14ac:dyDescent="0.25">
      <c r="A136" s="193"/>
      <c r="B136" s="194"/>
      <c r="C136" s="194"/>
      <c r="D136" s="194"/>
      <c r="E136" s="194"/>
      <c r="F136" s="194"/>
      <c r="G136" s="195"/>
    </row>
    <row r="137" spans="1:7" ht="15.75" thickBot="1" x14ac:dyDescent="0.3">
      <c r="A137" s="202" t="s">
        <v>113</v>
      </c>
      <c r="B137" s="203"/>
      <c r="C137" s="203"/>
      <c r="D137" s="203"/>
      <c r="E137" s="203"/>
      <c r="F137" s="203"/>
      <c r="G137" s="204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</sheetData>
  <mergeCells count="53">
    <mergeCell ref="A90:G90"/>
    <mergeCell ref="A96:G96"/>
    <mergeCell ref="A100:G100"/>
    <mergeCell ref="A106:G106"/>
    <mergeCell ref="B85:G85"/>
    <mergeCell ref="A1:G2"/>
    <mergeCell ref="E7:E8"/>
    <mergeCell ref="F7:F8"/>
    <mergeCell ref="G7:G8"/>
    <mergeCell ref="A7:A8"/>
    <mergeCell ref="B7:B8"/>
    <mergeCell ref="C7:C8"/>
    <mergeCell ref="D7:D8"/>
    <mergeCell ref="C3:G3"/>
    <mergeCell ref="A6:G6"/>
    <mergeCell ref="A137:G137"/>
    <mergeCell ref="B24:G24"/>
    <mergeCell ref="B132:F132"/>
    <mergeCell ref="B44:G44"/>
    <mergeCell ref="B54:F54"/>
    <mergeCell ref="B59:F59"/>
    <mergeCell ref="A130:G130"/>
    <mergeCell ref="B126:F126"/>
    <mergeCell ref="A128:G128"/>
    <mergeCell ref="A118:G118"/>
    <mergeCell ref="A133:G133"/>
    <mergeCell ref="A134:F134"/>
    <mergeCell ref="B116:F116"/>
    <mergeCell ref="B101:G101"/>
    <mergeCell ref="B107:G107"/>
    <mergeCell ref="B81:F81"/>
    <mergeCell ref="A135:G136"/>
    <mergeCell ref="A23:G23"/>
    <mergeCell ref="A10:G10"/>
    <mergeCell ref="A15:G15"/>
    <mergeCell ref="B88:G88"/>
    <mergeCell ref="B91:G91"/>
    <mergeCell ref="A56:G56"/>
    <mergeCell ref="A61:G61"/>
    <mergeCell ref="A83:G83"/>
    <mergeCell ref="B97:G97"/>
    <mergeCell ref="B65:G65"/>
    <mergeCell ref="A35:G35"/>
    <mergeCell ref="A55:G55"/>
    <mergeCell ref="A60:G60"/>
    <mergeCell ref="A117:G117"/>
    <mergeCell ref="A82:G82"/>
    <mergeCell ref="A43:G43"/>
    <mergeCell ref="B34:F34"/>
    <mergeCell ref="B42:F42"/>
    <mergeCell ref="B62:G62"/>
    <mergeCell ref="A9:G9"/>
    <mergeCell ref="B16:G16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Normal="100" workbookViewId="0">
      <selection activeCell="M11" sqref="M11"/>
    </sheetView>
  </sheetViews>
  <sheetFormatPr defaultRowHeight="15" x14ac:dyDescent="0.25"/>
  <cols>
    <col min="10" max="10" width="15.28515625" customWidth="1"/>
    <col min="11" max="11" width="14.140625" customWidth="1"/>
    <col min="12" max="12" width="12.42578125" bestFit="1" customWidth="1"/>
    <col min="13" max="13" width="13.28515625" customWidth="1"/>
  </cols>
  <sheetData>
    <row r="1" spans="1:13" ht="15.75" thickBot="1" x14ac:dyDescent="0.3"/>
    <row r="2" spans="1:13" ht="15.75" thickBot="1" x14ac:dyDescent="0.3">
      <c r="A2" s="237" t="s">
        <v>202</v>
      </c>
      <c r="B2" s="224"/>
      <c r="C2" s="238" t="s">
        <v>182</v>
      </c>
      <c r="D2" s="238"/>
      <c r="E2" s="238"/>
      <c r="F2" s="238"/>
      <c r="G2" s="238"/>
      <c r="H2" s="238"/>
      <c r="I2" s="238"/>
      <c r="J2" s="238"/>
      <c r="K2" s="239"/>
    </row>
    <row r="3" spans="1:13" x14ac:dyDescent="0.25">
      <c r="A3" s="138" t="s">
        <v>119</v>
      </c>
      <c r="B3" s="138" t="s">
        <v>1</v>
      </c>
      <c r="C3" s="226" t="s">
        <v>49</v>
      </c>
      <c r="D3" s="226"/>
      <c r="E3" s="226"/>
      <c r="F3" s="226"/>
      <c r="G3" s="226"/>
      <c r="H3" s="138" t="s">
        <v>120</v>
      </c>
      <c r="I3" s="138" t="s">
        <v>4</v>
      </c>
      <c r="J3" s="138" t="s">
        <v>121</v>
      </c>
      <c r="K3" s="138" t="s">
        <v>122</v>
      </c>
      <c r="L3" s="44"/>
      <c r="M3" s="44"/>
    </row>
    <row r="4" spans="1:13" x14ac:dyDescent="0.25">
      <c r="A4" s="136" t="s">
        <v>126</v>
      </c>
      <c r="B4" s="136">
        <v>1116</v>
      </c>
      <c r="C4" s="233" t="s">
        <v>183</v>
      </c>
      <c r="D4" s="233"/>
      <c r="E4" s="233"/>
      <c r="F4" s="233"/>
      <c r="G4" s="233"/>
      <c r="H4" s="136">
        <v>4</v>
      </c>
      <c r="I4" s="136" t="s">
        <v>13</v>
      </c>
      <c r="J4" s="135">
        <v>27.43</v>
      </c>
      <c r="K4" s="135">
        <f>H4*J4</f>
        <v>109.72</v>
      </c>
      <c r="L4" s="44"/>
      <c r="M4" s="44"/>
    </row>
    <row r="5" spans="1:13" x14ac:dyDescent="0.25">
      <c r="A5" s="136" t="s">
        <v>126</v>
      </c>
      <c r="B5" s="136">
        <v>5104</v>
      </c>
      <c r="C5" s="233" t="s">
        <v>184</v>
      </c>
      <c r="D5" s="233"/>
      <c r="E5" s="233"/>
      <c r="F5" s="233"/>
      <c r="G5" s="233"/>
      <c r="H5" s="136">
        <v>0.1</v>
      </c>
      <c r="I5" s="136" t="s">
        <v>185</v>
      </c>
      <c r="J5" s="148">
        <v>77.63</v>
      </c>
      <c r="K5" s="135">
        <f>J5*H5</f>
        <v>7.7629999999999999</v>
      </c>
      <c r="L5" s="44"/>
      <c r="M5" s="44"/>
    </row>
    <row r="6" spans="1:13" x14ac:dyDescent="0.25">
      <c r="A6" s="136" t="s">
        <v>126</v>
      </c>
      <c r="B6" s="136">
        <v>88264</v>
      </c>
      <c r="C6" s="221" t="s">
        <v>186</v>
      </c>
      <c r="D6" s="221"/>
      <c r="E6" s="221"/>
      <c r="F6" s="221"/>
      <c r="G6" s="221"/>
      <c r="H6" s="136">
        <v>0.1</v>
      </c>
      <c r="I6" s="136" t="s">
        <v>128</v>
      </c>
      <c r="J6" s="135">
        <v>14.3</v>
      </c>
      <c r="K6" s="135">
        <f>J6*H6</f>
        <v>1.4300000000000002</v>
      </c>
      <c r="L6" s="44"/>
      <c r="M6" s="44"/>
    </row>
    <row r="7" spans="1:13" x14ac:dyDescent="0.25">
      <c r="A7" s="136" t="s">
        <v>126</v>
      </c>
      <c r="B7" s="136">
        <v>88247</v>
      </c>
      <c r="C7" s="221" t="s">
        <v>187</v>
      </c>
      <c r="D7" s="221"/>
      <c r="E7" s="221"/>
      <c r="F7" s="221"/>
      <c r="G7" s="221"/>
      <c r="H7" s="136">
        <v>1</v>
      </c>
      <c r="I7" s="136" t="s">
        <v>128</v>
      </c>
      <c r="J7" s="135">
        <v>10.97</v>
      </c>
      <c r="K7" s="135">
        <f>J7*H7</f>
        <v>10.97</v>
      </c>
      <c r="L7" s="44"/>
      <c r="M7" s="44"/>
    </row>
    <row r="8" spans="1:13" x14ac:dyDescent="0.25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44"/>
      <c r="M8" s="44"/>
    </row>
    <row r="9" spans="1:13" x14ac:dyDescent="0.25">
      <c r="A9" s="227" t="s">
        <v>158</v>
      </c>
      <c r="B9" s="228"/>
      <c r="C9" s="228"/>
      <c r="D9" s="228"/>
      <c r="E9" s="228"/>
      <c r="F9" s="228"/>
      <c r="G9" s="228"/>
      <c r="H9" s="228"/>
      <c r="I9" s="228"/>
      <c r="J9" s="229"/>
      <c r="K9" s="137">
        <f>K4+K5</f>
        <v>117.483</v>
      </c>
      <c r="L9" s="44"/>
      <c r="M9" s="44"/>
    </row>
    <row r="10" spans="1:13" x14ac:dyDescent="0.25">
      <c r="A10" s="227" t="s">
        <v>159</v>
      </c>
      <c r="B10" s="228"/>
      <c r="C10" s="228"/>
      <c r="D10" s="228"/>
      <c r="E10" s="228"/>
      <c r="F10" s="228"/>
      <c r="G10" s="228"/>
      <c r="H10" s="228"/>
      <c r="I10" s="228"/>
      <c r="J10" s="229"/>
      <c r="K10" s="137">
        <f>K6+K7</f>
        <v>12.4</v>
      </c>
      <c r="L10" s="44"/>
      <c r="M10" s="44"/>
    </row>
    <row r="11" spans="1:13" s="134" customFormat="1" ht="15.75" thickBot="1" x14ac:dyDescent="0.3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19"/>
      <c r="L11" s="44"/>
      <c r="M11" s="44"/>
    </row>
    <row r="12" spans="1:13" s="134" customFormat="1" ht="15.75" thickBot="1" x14ac:dyDescent="0.3">
      <c r="A12" s="237" t="s">
        <v>203</v>
      </c>
      <c r="B12" s="224"/>
      <c r="C12" s="238" t="s">
        <v>189</v>
      </c>
      <c r="D12" s="238"/>
      <c r="E12" s="238"/>
      <c r="F12" s="238"/>
      <c r="G12" s="238"/>
      <c r="H12" s="238"/>
      <c r="I12" s="238"/>
      <c r="J12" s="238"/>
      <c r="K12" s="239"/>
      <c r="L12" s="44"/>
      <c r="M12" s="44"/>
    </row>
    <row r="13" spans="1:13" s="134" customFormat="1" x14ac:dyDescent="0.25">
      <c r="A13" s="138" t="s">
        <v>119</v>
      </c>
      <c r="B13" s="138" t="s">
        <v>1</v>
      </c>
      <c r="C13" s="226" t="s">
        <v>49</v>
      </c>
      <c r="D13" s="226"/>
      <c r="E13" s="226"/>
      <c r="F13" s="226"/>
      <c r="G13" s="226"/>
      <c r="H13" s="138" t="s">
        <v>120</v>
      </c>
      <c r="I13" s="138" t="s">
        <v>4</v>
      </c>
      <c r="J13" s="138" t="s">
        <v>121</v>
      </c>
      <c r="K13" s="138" t="s">
        <v>122</v>
      </c>
      <c r="L13" s="44"/>
      <c r="M13" s="44"/>
    </row>
    <row r="14" spans="1:13" s="134" customFormat="1" x14ac:dyDescent="0.25">
      <c r="A14" s="136" t="s">
        <v>126</v>
      </c>
      <c r="B14" s="136">
        <v>5678</v>
      </c>
      <c r="C14" s="233" t="s">
        <v>190</v>
      </c>
      <c r="D14" s="233"/>
      <c r="E14" s="233"/>
      <c r="F14" s="233"/>
      <c r="G14" s="233"/>
      <c r="H14" s="136">
        <v>2</v>
      </c>
      <c r="I14" s="136" t="s">
        <v>191</v>
      </c>
      <c r="J14" s="135">
        <v>108.79</v>
      </c>
      <c r="K14" s="135">
        <f>H14*J14</f>
        <v>217.58</v>
      </c>
      <c r="L14" s="44"/>
      <c r="M14" s="44"/>
    </row>
    <row r="15" spans="1:13" s="134" customFormat="1" x14ac:dyDescent="0.25">
      <c r="A15" s="136" t="s">
        <v>126</v>
      </c>
      <c r="B15" s="136">
        <v>2696</v>
      </c>
      <c r="C15" s="234" t="s">
        <v>192</v>
      </c>
      <c r="D15" s="235"/>
      <c r="E15" s="235"/>
      <c r="F15" s="235"/>
      <c r="G15" s="236"/>
      <c r="H15" s="136" t="s">
        <v>194</v>
      </c>
      <c r="I15" s="136" t="s">
        <v>191</v>
      </c>
      <c r="J15" s="135">
        <v>14.09</v>
      </c>
      <c r="K15" s="150">
        <v>5.64</v>
      </c>
      <c r="L15" s="44"/>
      <c r="M15" s="44"/>
    </row>
    <row r="16" spans="1:13" s="134" customFormat="1" x14ac:dyDescent="0.25">
      <c r="A16" s="136" t="s">
        <v>126</v>
      </c>
      <c r="B16" s="136">
        <v>246</v>
      </c>
      <c r="C16" s="233" t="s">
        <v>193</v>
      </c>
      <c r="D16" s="233"/>
      <c r="E16" s="233"/>
      <c r="F16" s="233"/>
      <c r="G16" s="233"/>
      <c r="H16" s="136">
        <v>2</v>
      </c>
      <c r="I16" s="136" t="s">
        <v>191</v>
      </c>
      <c r="J16" s="148">
        <v>9.98</v>
      </c>
      <c r="K16" s="135">
        <f>J16*H16</f>
        <v>19.96</v>
      </c>
      <c r="L16" s="44"/>
      <c r="M16" s="44"/>
    </row>
    <row r="17" spans="1:13" s="134" customFormat="1" x14ac:dyDescent="0.25">
      <c r="A17" s="136" t="s">
        <v>126</v>
      </c>
      <c r="B17" s="136">
        <v>6111</v>
      </c>
      <c r="C17" s="221" t="s">
        <v>187</v>
      </c>
      <c r="D17" s="221"/>
      <c r="E17" s="221"/>
      <c r="F17" s="221"/>
      <c r="G17" s="221"/>
      <c r="H17" s="136">
        <v>2</v>
      </c>
      <c r="I17" s="136" t="s">
        <v>128</v>
      </c>
      <c r="J17" s="135">
        <v>10.97</v>
      </c>
      <c r="K17" s="135">
        <f>J17*H17</f>
        <v>21.94</v>
      </c>
      <c r="L17" s="44"/>
      <c r="M17" s="44"/>
    </row>
    <row r="18" spans="1:13" x14ac:dyDescent="0.25">
      <c r="A18" s="136" t="s">
        <v>126</v>
      </c>
      <c r="B18" s="136">
        <v>88247</v>
      </c>
      <c r="C18" s="221" t="s">
        <v>187</v>
      </c>
      <c r="D18" s="221"/>
      <c r="E18" s="221"/>
      <c r="F18" s="221"/>
      <c r="G18" s="221"/>
      <c r="H18" s="136">
        <v>1</v>
      </c>
      <c r="I18" s="136" t="s">
        <v>128</v>
      </c>
      <c r="J18" s="135">
        <v>10.97</v>
      </c>
      <c r="K18" s="135">
        <f>J18*H18</f>
        <v>10.97</v>
      </c>
      <c r="L18" s="44"/>
      <c r="M18" s="44"/>
    </row>
    <row r="19" spans="1:13" x14ac:dyDescent="0.25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44"/>
      <c r="M19" s="44"/>
    </row>
    <row r="20" spans="1:13" x14ac:dyDescent="0.25">
      <c r="A20" s="227" t="s">
        <v>158</v>
      </c>
      <c r="B20" s="228"/>
      <c r="C20" s="228"/>
      <c r="D20" s="228"/>
      <c r="E20" s="228"/>
      <c r="F20" s="228"/>
      <c r="G20" s="228"/>
      <c r="H20" s="228"/>
      <c r="I20" s="228"/>
      <c r="J20" s="229"/>
      <c r="K20" s="137">
        <v>217.58</v>
      </c>
      <c r="L20" s="44"/>
      <c r="M20" s="44"/>
    </row>
    <row r="21" spans="1:13" x14ac:dyDescent="0.25">
      <c r="A21" s="227" t="s">
        <v>159</v>
      </c>
      <c r="B21" s="228"/>
      <c r="C21" s="228"/>
      <c r="D21" s="228"/>
      <c r="E21" s="228"/>
      <c r="F21" s="228"/>
      <c r="G21" s="228"/>
      <c r="H21" s="228"/>
      <c r="I21" s="228"/>
      <c r="J21" s="229"/>
      <c r="K21" s="137">
        <f>K18+K17+K16+K15</f>
        <v>58.510000000000005</v>
      </c>
      <c r="L21" s="44"/>
      <c r="M21" s="44"/>
    </row>
    <row r="22" spans="1:13" s="134" customFormat="1" ht="15.75" thickBot="1" x14ac:dyDescent="0.3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19"/>
      <c r="L22" s="44"/>
      <c r="M22" s="44"/>
    </row>
    <row r="23" spans="1:13" s="134" customFormat="1" ht="15.75" thickBot="1" x14ac:dyDescent="0.3">
      <c r="A23" s="222" t="s">
        <v>204</v>
      </c>
      <c r="B23" s="223"/>
      <c r="C23" s="224" t="s">
        <v>153</v>
      </c>
      <c r="D23" s="224"/>
      <c r="E23" s="224"/>
      <c r="F23" s="224"/>
      <c r="G23" s="224"/>
      <c r="H23" s="224"/>
      <c r="I23" s="224"/>
      <c r="J23" s="224"/>
      <c r="K23" s="225"/>
      <c r="L23" s="44"/>
      <c r="M23" s="44"/>
    </row>
    <row r="24" spans="1:13" s="134" customFormat="1" x14ac:dyDescent="0.25">
      <c r="A24" s="138" t="s">
        <v>119</v>
      </c>
      <c r="B24" s="138" t="s">
        <v>1</v>
      </c>
      <c r="C24" s="226" t="s">
        <v>49</v>
      </c>
      <c r="D24" s="226"/>
      <c r="E24" s="226"/>
      <c r="F24" s="226"/>
      <c r="G24" s="226"/>
      <c r="H24" s="138" t="s">
        <v>120</v>
      </c>
      <c r="I24" s="138" t="s">
        <v>4</v>
      </c>
      <c r="J24" s="138" t="s">
        <v>121</v>
      </c>
      <c r="K24" s="138" t="s">
        <v>122</v>
      </c>
      <c r="L24" s="44"/>
      <c r="M24" s="44"/>
    </row>
    <row r="25" spans="1:13" s="134" customFormat="1" x14ac:dyDescent="0.25">
      <c r="A25" s="136" t="s">
        <v>145</v>
      </c>
      <c r="B25" s="136">
        <v>4056</v>
      </c>
      <c r="C25" s="221" t="s">
        <v>154</v>
      </c>
      <c r="D25" s="221"/>
      <c r="E25" s="221"/>
      <c r="F25" s="221"/>
      <c r="G25" s="221"/>
      <c r="H25" s="136">
        <v>0.18</v>
      </c>
      <c r="I25" s="136" t="s">
        <v>155</v>
      </c>
      <c r="J25" s="135">
        <v>36</v>
      </c>
      <c r="K25" s="136">
        <v>6.48</v>
      </c>
      <c r="L25" s="44"/>
      <c r="M25" s="44"/>
    </row>
    <row r="26" spans="1:13" s="134" customFormat="1" x14ac:dyDescent="0.25">
      <c r="A26" s="136" t="s">
        <v>145</v>
      </c>
      <c r="B26" s="136"/>
      <c r="C26" s="221" t="s">
        <v>156</v>
      </c>
      <c r="D26" s="221"/>
      <c r="E26" s="221"/>
      <c r="F26" s="221"/>
      <c r="G26" s="221"/>
      <c r="H26" s="136">
        <v>0.06</v>
      </c>
      <c r="I26" s="136" t="s">
        <v>125</v>
      </c>
      <c r="J26" s="135">
        <v>0.78</v>
      </c>
      <c r="K26" s="136">
        <v>0.05</v>
      </c>
      <c r="L26" s="44"/>
      <c r="M26" s="44"/>
    </row>
    <row r="27" spans="1:13" s="134" customFormat="1" x14ac:dyDescent="0.25">
      <c r="A27" s="136" t="s">
        <v>126</v>
      </c>
      <c r="B27" s="136">
        <v>88310</v>
      </c>
      <c r="C27" s="221" t="s">
        <v>157</v>
      </c>
      <c r="D27" s="221"/>
      <c r="E27" s="221"/>
      <c r="F27" s="221"/>
      <c r="G27" s="221"/>
      <c r="H27" s="136">
        <v>0.4</v>
      </c>
      <c r="I27" s="136" t="s">
        <v>128</v>
      </c>
      <c r="J27" s="135">
        <v>19.48</v>
      </c>
      <c r="K27" s="136">
        <v>7.79</v>
      </c>
      <c r="L27" s="44"/>
      <c r="M27" s="44"/>
    </row>
    <row r="28" spans="1:13" s="134" customFormat="1" x14ac:dyDescent="0.25">
      <c r="A28" s="136" t="s">
        <v>126</v>
      </c>
      <c r="B28" s="136">
        <v>88316</v>
      </c>
      <c r="C28" s="221" t="s">
        <v>152</v>
      </c>
      <c r="D28" s="221"/>
      <c r="E28" s="221"/>
      <c r="F28" s="221"/>
      <c r="G28" s="221"/>
      <c r="H28" s="136">
        <v>0.15</v>
      </c>
      <c r="I28" s="136" t="s">
        <v>128</v>
      </c>
      <c r="J28" s="135">
        <v>15.35</v>
      </c>
      <c r="K28" s="136">
        <v>2.2999999999999998</v>
      </c>
      <c r="L28" s="44"/>
      <c r="M28" s="44"/>
    </row>
    <row r="29" spans="1:13" s="134" customFormat="1" x14ac:dyDescent="0.25">
      <c r="A29" s="130"/>
      <c r="B29" s="130"/>
      <c r="C29" s="133"/>
      <c r="D29" s="133"/>
      <c r="E29" s="133"/>
      <c r="F29" s="133"/>
      <c r="G29" s="133"/>
      <c r="H29" s="130"/>
      <c r="I29" s="130"/>
      <c r="J29" s="131"/>
      <c r="K29" s="130"/>
      <c r="L29" s="44"/>
      <c r="M29" s="44"/>
    </row>
    <row r="30" spans="1:13" s="134" customFormat="1" x14ac:dyDescent="0.25">
      <c r="A30" s="227" t="s">
        <v>158</v>
      </c>
      <c r="B30" s="228"/>
      <c r="C30" s="228"/>
      <c r="D30" s="228"/>
      <c r="E30" s="228"/>
      <c r="F30" s="228"/>
      <c r="G30" s="228"/>
      <c r="H30" s="228"/>
      <c r="I30" s="228"/>
      <c r="J30" s="229"/>
      <c r="K30" s="137">
        <v>6.53</v>
      </c>
      <c r="L30" s="44"/>
      <c r="M30" s="44"/>
    </row>
    <row r="31" spans="1:13" s="134" customFormat="1" x14ac:dyDescent="0.25">
      <c r="A31" s="227" t="s">
        <v>159</v>
      </c>
      <c r="B31" s="228"/>
      <c r="C31" s="228"/>
      <c r="D31" s="228"/>
      <c r="E31" s="228"/>
      <c r="F31" s="228"/>
      <c r="G31" s="228"/>
      <c r="H31" s="228"/>
      <c r="I31" s="228"/>
      <c r="J31" s="229"/>
      <c r="K31" s="137">
        <v>10.09</v>
      </c>
      <c r="L31" s="44"/>
      <c r="M31" s="44"/>
    </row>
    <row r="32" spans="1:13" s="134" customFormat="1" ht="15.75" thickBot="1" x14ac:dyDescent="0.3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19"/>
      <c r="L32" s="44"/>
      <c r="M32" s="44"/>
    </row>
    <row r="33" spans="1:13" s="134" customFormat="1" ht="15.75" thickBot="1" x14ac:dyDescent="0.3">
      <c r="A33" s="237" t="s">
        <v>205</v>
      </c>
      <c r="B33" s="224"/>
      <c r="C33" s="238" t="s">
        <v>118</v>
      </c>
      <c r="D33" s="238"/>
      <c r="E33" s="238"/>
      <c r="F33" s="238"/>
      <c r="G33" s="238"/>
      <c r="H33" s="238"/>
      <c r="I33" s="238"/>
      <c r="J33" s="238"/>
      <c r="K33" s="239"/>
      <c r="L33" s="44"/>
      <c r="M33" s="44"/>
    </row>
    <row r="34" spans="1:13" s="134" customFormat="1" x14ac:dyDescent="0.25">
      <c r="A34" s="138" t="s">
        <v>119</v>
      </c>
      <c r="B34" s="138" t="s">
        <v>1</v>
      </c>
      <c r="C34" s="226" t="s">
        <v>49</v>
      </c>
      <c r="D34" s="226"/>
      <c r="E34" s="226"/>
      <c r="F34" s="226"/>
      <c r="G34" s="226"/>
      <c r="H34" s="138" t="s">
        <v>120</v>
      </c>
      <c r="I34" s="138" t="s">
        <v>4</v>
      </c>
      <c r="J34" s="138" t="s">
        <v>121</v>
      </c>
      <c r="K34" s="138" t="s">
        <v>122</v>
      </c>
      <c r="L34" s="44"/>
      <c r="M34" s="44"/>
    </row>
    <row r="35" spans="1:13" s="134" customFormat="1" x14ac:dyDescent="0.25">
      <c r="A35" s="136" t="s">
        <v>123</v>
      </c>
      <c r="B35" s="136">
        <v>16</v>
      </c>
      <c r="C35" s="233" t="s">
        <v>124</v>
      </c>
      <c r="D35" s="233"/>
      <c r="E35" s="233"/>
      <c r="F35" s="233"/>
      <c r="G35" s="233"/>
      <c r="H35" s="136">
        <v>1</v>
      </c>
      <c r="I35" s="136" t="s">
        <v>125</v>
      </c>
      <c r="J35" s="135">
        <v>75</v>
      </c>
      <c r="K35" s="135">
        <v>75</v>
      </c>
      <c r="L35" s="44"/>
      <c r="M35" s="44"/>
    </row>
    <row r="36" spans="1:13" s="134" customFormat="1" x14ac:dyDescent="0.25">
      <c r="A36" s="136" t="s">
        <v>126</v>
      </c>
      <c r="B36" s="136">
        <v>88264</v>
      </c>
      <c r="C36" s="221" t="s">
        <v>127</v>
      </c>
      <c r="D36" s="221"/>
      <c r="E36" s="221"/>
      <c r="F36" s="221"/>
      <c r="G36" s="221"/>
      <c r="H36" s="136">
        <v>0.33</v>
      </c>
      <c r="I36" s="136" t="s">
        <v>128</v>
      </c>
      <c r="J36" s="135">
        <v>20.11</v>
      </c>
      <c r="K36" s="135">
        <v>6.64</v>
      </c>
      <c r="L36" s="44"/>
      <c r="M36" s="44"/>
    </row>
    <row r="37" spans="1:13" s="134" customFormat="1" x14ac:dyDescent="0.25">
      <c r="A37" s="136" t="s">
        <v>126</v>
      </c>
      <c r="B37" s="136">
        <v>88247</v>
      </c>
      <c r="C37" s="221" t="s">
        <v>129</v>
      </c>
      <c r="D37" s="221"/>
      <c r="E37" s="221"/>
      <c r="F37" s="221"/>
      <c r="G37" s="221"/>
      <c r="H37" s="136">
        <v>0.16</v>
      </c>
      <c r="I37" s="136" t="s">
        <v>128</v>
      </c>
      <c r="J37" s="135">
        <v>15.41</v>
      </c>
      <c r="K37" s="135">
        <v>2.4700000000000002</v>
      </c>
      <c r="L37" s="44"/>
      <c r="M37" s="44"/>
    </row>
    <row r="38" spans="1:13" s="134" customFormat="1" x14ac:dyDescent="0.25">
      <c r="L38" s="44"/>
      <c r="M38" s="44"/>
    </row>
    <row r="39" spans="1:13" s="134" customFormat="1" x14ac:dyDescent="0.25">
      <c r="A39" s="227" t="s">
        <v>158</v>
      </c>
      <c r="B39" s="228"/>
      <c r="C39" s="228"/>
      <c r="D39" s="228"/>
      <c r="E39" s="228"/>
      <c r="F39" s="228"/>
      <c r="G39" s="228"/>
      <c r="H39" s="228"/>
      <c r="I39" s="228"/>
      <c r="J39" s="229"/>
      <c r="K39" s="137">
        <v>75</v>
      </c>
      <c r="L39" s="44"/>
      <c r="M39" s="44"/>
    </row>
    <row r="40" spans="1:13" x14ac:dyDescent="0.25">
      <c r="A40" s="227" t="s">
        <v>159</v>
      </c>
      <c r="B40" s="228"/>
      <c r="C40" s="228"/>
      <c r="D40" s="228"/>
      <c r="E40" s="228"/>
      <c r="F40" s="228"/>
      <c r="G40" s="228"/>
      <c r="H40" s="228"/>
      <c r="I40" s="228"/>
      <c r="J40" s="229"/>
      <c r="K40" s="137">
        <v>9.11</v>
      </c>
      <c r="L40" s="44"/>
      <c r="M40" s="44"/>
    </row>
    <row r="41" spans="1:13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 ht="15.75" thickBot="1" x14ac:dyDescent="0.3"/>
    <row r="43" spans="1:13" ht="15.75" thickBot="1" x14ac:dyDescent="0.3">
      <c r="A43" s="222" t="s">
        <v>206</v>
      </c>
      <c r="B43" s="223"/>
      <c r="C43" s="224" t="s">
        <v>153</v>
      </c>
      <c r="D43" s="224"/>
      <c r="E43" s="224"/>
      <c r="F43" s="224"/>
      <c r="G43" s="224"/>
      <c r="H43" s="224"/>
      <c r="I43" s="224"/>
      <c r="J43" s="224"/>
      <c r="K43" s="225"/>
    </row>
    <row r="44" spans="1:13" x14ac:dyDescent="0.25">
      <c r="A44" s="122" t="s">
        <v>119</v>
      </c>
      <c r="B44" s="122" t="s">
        <v>1</v>
      </c>
      <c r="C44" s="226" t="s">
        <v>49</v>
      </c>
      <c r="D44" s="226"/>
      <c r="E44" s="226"/>
      <c r="F44" s="226"/>
      <c r="G44" s="226"/>
      <c r="H44" s="122" t="s">
        <v>120</v>
      </c>
      <c r="I44" s="122" t="s">
        <v>4</v>
      </c>
      <c r="J44" s="122" t="s">
        <v>121</v>
      </c>
      <c r="K44" s="122" t="s">
        <v>122</v>
      </c>
    </row>
    <row r="45" spans="1:13" x14ac:dyDescent="0.25">
      <c r="A45" s="121" t="s">
        <v>145</v>
      </c>
      <c r="B45" s="121">
        <v>4056</v>
      </c>
      <c r="C45" s="221" t="s">
        <v>154</v>
      </c>
      <c r="D45" s="221"/>
      <c r="E45" s="221"/>
      <c r="F45" s="221"/>
      <c r="G45" s="221"/>
      <c r="H45" s="121">
        <v>0.18</v>
      </c>
      <c r="I45" s="121" t="s">
        <v>155</v>
      </c>
      <c r="J45" s="120">
        <v>36</v>
      </c>
      <c r="K45" s="121">
        <v>6.48</v>
      </c>
    </row>
    <row r="46" spans="1:13" x14ac:dyDescent="0.25">
      <c r="A46" s="121" t="s">
        <v>145</v>
      </c>
      <c r="B46" s="121"/>
      <c r="C46" s="221" t="s">
        <v>156</v>
      </c>
      <c r="D46" s="221"/>
      <c r="E46" s="221"/>
      <c r="F46" s="221"/>
      <c r="G46" s="221"/>
      <c r="H46" s="121">
        <v>0.06</v>
      </c>
      <c r="I46" s="121" t="s">
        <v>125</v>
      </c>
      <c r="J46" s="120">
        <v>0.78</v>
      </c>
      <c r="K46" s="121">
        <v>0.05</v>
      </c>
    </row>
    <row r="47" spans="1:13" x14ac:dyDescent="0.25">
      <c r="A47" s="121" t="s">
        <v>126</v>
      </c>
      <c r="B47" s="121">
        <v>88310</v>
      </c>
      <c r="C47" s="221" t="s">
        <v>157</v>
      </c>
      <c r="D47" s="221"/>
      <c r="E47" s="221"/>
      <c r="F47" s="221"/>
      <c r="G47" s="221"/>
      <c r="H47" s="121">
        <v>0.4</v>
      </c>
      <c r="I47" s="121" t="s">
        <v>128</v>
      </c>
      <c r="J47" s="120">
        <v>19.48</v>
      </c>
      <c r="K47" s="121">
        <v>7.79</v>
      </c>
    </row>
    <row r="48" spans="1:13" x14ac:dyDescent="0.25">
      <c r="A48" s="121" t="s">
        <v>126</v>
      </c>
      <c r="B48" s="121">
        <v>88316</v>
      </c>
      <c r="C48" s="221" t="s">
        <v>152</v>
      </c>
      <c r="D48" s="221"/>
      <c r="E48" s="221"/>
      <c r="F48" s="221"/>
      <c r="G48" s="221"/>
      <c r="H48" s="121">
        <v>0.15</v>
      </c>
      <c r="I48" s="121" t="s">
        <v>128</v>
      </c>
      <c r="J48" s="120">
        <v>15.35</v>
      </c>
      <c r="K48" s="121">
        <v>2.2999999999999998</v>
      </c>
    </row>
    <row r="49" spans="1:11" x14ac:dyDescent="0.25">
      <c r="A49" s="123"/>
      <c r="B49" s="123"/>
      <c r="C49" s="126"/>
      <c r="D49" s="126"/>
      <c r="E49" s="126"/>
      <c r="F49" s="126"/>
      <c r="G49" s="126"/>
      <c r="H49" s="123"/>
      <c r="I49" s="123"/>
      <c r="J49" s="124"/>
      <c r="K49" s="123"/>
    </row>
    <row r="50" spans="1:11" x14ac:dyDescent="0.25">
      <c r="A50" s="227" t="s">
        <v>158</v>
      </c>
      <c r="B50" s="228"/>
      <c r="C50" s="228"/>
      <c r="D50" s="228"/>
      <c r="E50" s="228"/>
      <c r="F50" s="228"/>
      <c r="G50" s="228"/>
      <c r="H50" s="228"/>
      <c r="I50" s="228"/>
      <c r="J50" s="229"/>
      <c r="K50" s="125">
        <v>6.53</v>
      </c>
    </row>
    <row r="51" spans="1:11" x14ac:dyDescent="0.25">
      <c r="A51" s="227" t="s">
        <v>159</v>
      </c>
      <c r="B51" s="228"/>
      <c r="C51" s="228"/>
      <c r="D51" s="228"/>
      <c r="E51" s="228"/>
      <c r="F51" s="228"/>
      <c r="G51" s="228"/>
      <c r="H51" s="228"/>
      <c r="I51" s="228"/>
      <c r="J51" s="229"/>
      <c r="K51" s="125">
        <v>10.09</v>
      </c>
    </row>
    <row r="53" spans="1:11" ht="15.75" thickBot="1" x14ac:dyDescent="0.3"/>
    <row r="54" spans="1:11" ht="15.75" thickBot="1" x14ac:dyDescent="0.3">
      <c r="A54" s="222" t="s">
        <v>207</v>
      </c>
      <c r="B54" s="223"/>
      <c r="C54" s="224" t="s">
        <v>144</v>
      </c>
      <c r="D54" s="224"/>
      <c r="E54" s="224"/>
      <c r="F54" s="224"/>
      <c r="G54" s="224"/>
      <c r="H54" s="224"/>
      <c r="I54" s="224"/>
      <c r="J54" s="224"/>
      <c r="K54" s="225"/>
    </row>
    <row r="55" spans="1:11" x14ac:dyDescent="0.25">
      <c r="A55" s="129" t="s">
        <v>119</v>
      </c>
      <c r="B55" s="129" t="s">
        <v>1</v>
      </c>
      <c r="C55" s="226" t="s">
        <v>49</v>
      </c>
      <c r="D55" s="226"/>
      <c r="E55" s="226"/>
      <c r="F55" s="226"/>
      <c r="G55" s="226"/>
      <c r="H55" s="129" t="s">
        <v>120</v>
      </c>
      <c r="I55" s="129" t="s">
        <v>4</v>
      </c>
      <c r="J55" s="129" t="s">
        <v>121</v>
      </c>
      <c r="K55" s="129" t="s">
        <v>122</v>
      </c>
    </row>
    <row r="56" spans="1:11" x14ac:dyDescent="0.25">
      <c r="A56" s="128" t="s">
        <v>145</v>
      </c>
      <c r="B56" s="128">
        <v>20231</v>
      </c>
      <c r="C56" s="230" t="s">
        <v>146</v>
      </c>
      <c r="D56" s="231"/>
      <c r="E56" s="231"/>
      <c r="F56" s="231"/>
      <c r="G56" s="232"/>
      <c r="H56" s="128">
        <v>1.04</v>
      </c>
      <c r="I56" s="128" t="s">
        <v>147</v>
      </c>
      <c r="J56" s="127">
        <v>57.3</v>
      </c>
      <c r="K56" s="128">
        <v>59.59</v>
      </c>
    </row>
    <row r="57" spans="1:11" x14ac:dyDescent="0.25">
      <c r="A57" s="128" t="s">
        <v>145</v>
      </c>
      <c r="B57" s="128">
        <v>34357</v>
      </c>
      <c r="C57" s="221" t="s">
        <v>148</v>
      </c>
      <c r="D57" s="221"/>
      <c r="E57" s="221"/>
      <c r="F57" s="221"/>
      <c r="G57" s="221"/>
      <c r="H57" s="128">
        <v>0.12</v>
      </c>
      <c r="I57" s="128" t="s">
        <v>149</v>
      </c>
      <c r="J57" s="127">
        <v>2.93</v>
      </c>
      <c r="K57" s="128">
        <v>0.35</v>
      </c>
    </row>
    <row r="58" spans="1:11" x14ac:dyDescent="0.25">
      <c r="A58" s="128" t="s">
        <v>145</v>
      </c>
      <c r="B58" s="128">
        <v>37595</v>
      </c>
      <c r="C58" s="221" t="s">
        <v>150</v>
      </c>
      <c r="D58" s="221"/>
      <c r="E58" s="221"/>
      <c r="F58" s="221"/>
      <c r="G58" s="221"/>
      <c r="H58" s="128">
        <v>0.86140000000000005</v>
      </c>
      <c r="I58" s="128" t="s">
        <v>149</v>
      </c>
      <c r="J58" s="127">
        <v>1.53</v>
      </c>
      <c r="K58" s="128">
        <v>1.32</v>
      </c>
    </row>
    <row r="59" spans="1:11" x14ac:dyDescent="0.25">
      <c r="A59" s="128" t="s">
        <v>126</v>
      </c>
      <c r="B59" s="128">
        <v>88274</v>
      </c>
      <c r="C59" s="221" t="s">
        <v>151</v>
      </c>
      <c r="D59" s="221"/>
      <c r="E59" s="221"/>
      <c r="F59" s="221"/>
      <c r="G59" s="221"/>
      <c r="H59" s="128">
        <v>0.29899999999999999</v>
      </c>
      <c r="I59" s="128" t="s">
        <v>128</v>
      </c>
      <c r="J59" s="127">
        <v>22.48</v>
      </c>
      <c r="K59" s="128">
        <v>6.72</v>
      </c>
    </row>
    <row r="60" spans="1:11" x14ac:dyDescent="0.25">
      <c r="A60" s="128" t="s">
        <v>126</v>
      </c>
      <c r="B60" s="128">
        <v>88316</v>
      </c>
      <c r="C60" s="221" t="s">
        <v>152</v>
      </c>
      <c r="D60" s="221"/>
      <c r="E60" s="221"/>
      <c r="F60" s="221"/>
      <c r="G60" s="221"/>
      <c r="H60" s="128">
        <v>0.15</v>
      </c>
      <c r="I60" s="128" t="s">
        <v>128</v>
      </c>
      <c r="J60" s="127">
        <v>15.35</v>
      </c>
      <c r="K60" s="128">
        <v>2.2999999999999998</v>
      </c>
    </row>
    <row r="61" spans="1:11" x14ac:dyDescent="0.25">
      <c r="A61" s="130"/>
      <c r="B61" s="130"/>
      <c r="C61" s="133"/>
      <c r="D61" s="133"/>
      <c r="E61" s="133"/>
      <c r="F61" s="133"/>
      <c r="G61" s="133"/>
      <c r="H61" s="130"/>
      <c r="I61" s="130"/>
      <c r="J61" s="131"/>
      <c r="K61" s="130"/>
    </row>
    <row r="62" spans="1:11" x14ac:dyDescent="0.25">
      <c r="A62" s="227" t="s">
        <v>158</v>
      </c>
      <c r="B62" s="228"/>
      <c r="C62" s="228"/>
      <c r="D62" s="228"/>
      <c r="E62" s="228"/>
      <c r="F62" s="228"/>
      <c r="G62" s="228"/>
      <c r="H62" s="228"/>
      <c r="I62" s="228"/>
      <c r="J62" s="229"/>
      <c r="K62" s="132">
        <v>61.26</v>
      </c>
    </row>
    <row r="63" spans="1:11" x14ac:dyDescent="0.25">
      <c r="A63" s="227" t="s">
        <v>159</v>
      </c>
      <c r="B63" s="228"/>
      <c r="C63" s="228"/>
      <c r="D63" s="228"/>
      <c r="E63" s="228"/>
      <c r="F63" s="228"/>
      <c r="G63" s="228"/>
      <c r="H63" s="228"/>
      <c r="I63" s="228"/>
      <c r="J63" s="229"/>
      <c r="K63" s="132">
        <v>9.02</v>
      </c>
    </row>
  </sheetData>
  <mergeCells count="55">
    <mergeCell ref="C35:G35"/>
    <mergeCell ref="C36:G36"/>
    <mergeCell ref="C37:G37"/>
    <mergeCell ref="A39:J39"/>
    <mergeCell ref="A40:J40"/>
    <mergeCell ref="A30:J30"/>
    <mergeCell ref="A31:J31"/>
    <mergeCell ref="A33:B33"/>
    <mergeCell ref="C33:K33"/>
    <mergeCell ref="C34:G34"/>
    <mergeCell ref="C24:G24"/>
    <mergeCell ref="C25:G25"/>
    <mergeCell ref="C26:G26"/>
    <mergeCell ref="C27:G27"/>
    <mergeCell ref="C28:G28"/>
    <mergeCell ref="C18:G18"/>
    <mergeCell ref="A20:J20"/>
    <mergeCell ref="A21:J21"/>
    <mergeCell ref="A23:B23"/>
    <mergeCell ref="C23:K23"/>
    <mergeCell ref="A2:B2"/>
    <mergeCell ref="C2:K2"/>
    <mergeCell ref="C3:G3"/>
    <mergeCell ref="C4:G4"/>
    <mergeCell ref="C7:G7"/>
    <mergeCell ref="C14:G14"/>
    <mergeCell ref="C15:G15"/>
    <mergeCell ref="C16:G16"/>
    <mergeCell ref="C17:G17"/>
    <mergeCell ref="C5:G5"/>
    <mergeCell ref="C6:G6"/>
    <mergeCell ref="A9:J9"/>
    <mergeCell ref="A10:J10"/>
    <mergeCell ref="A12:B12"/>
    <mergeCell ref="C12:K12"/>
    <mergeCell ref="C13:G13"/>
    <mergeCell ref="A63:J63"/>
    <mergeCell ref="A62:J62"/>
    <mergeCell ref="A51:J51"/>
    <mergeCell ref="A50:J50"/>
    <mergeCell ref="A54:B54"/>
    <mergeCell ref="C54:K54"/>
    <mergeCell ref="C55:G55"/>
    <mergeCell ref="C56:G56"/>
    <mergeCell ref="C57:G57"/>
    <mergeCell ref="C59:G59"/>
    <mergeCell ref="C60:G60"/>
    <mergeCell ref="C58:G58"/>
    <mergeCell ref="C46:G46"/>
    <mergeCell ref="A43:B43"/>
    <mergeCell ref="C43:K43"/>
    <mergeCell ref="C47:G47"/>
    <mergeCell ref="C48:G48"/>
    <mergeCell ref="C44:G44"/>
    <mergeCell ref="C45:G45"/>
  </mergeCells>
  <pageMargins left="0.511811024" right="0.511811024" top="0.78740157499999996" bottom="0.78740157499999996" header="0.31496062000000002" footer="0.31496062000000002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zoomScale="89" zoomScaleNormal="89" workbookViewId="0">
      <selection sqref="A1:O19"/>
    </sheetView>
  </sheetViews>
  <sheetFormatPr defaultRowHeight="15" x14ac:dyDescent="0.25"/>
  <cols>
    <col min="4" max="4" width="12.42578125" customWidth="1"/>
    <col min="5" max="5" width="14.7109375" customWidth="1"/>
    <col min="6" max="6" width="7.5703125" bestFit="1" customWidth="1"/>
    <col min="7" max="7" width="13.85546875" customWidth="1"/>
    <col min="8" max="8" width="7.5703125" bestFit="1" customWidth="1"/>
    <col min="9" max="9" width="13.85546875" bestFit="1" customWidth="1"/>
    <col min="10" max="10" width="7.5703125" bestFit="1" customWidth="1"/>
    <col min="11" max="11" width="13.85546875" bestFit="1" customWidth="1"/>
    <col min="12" max="12" width="9.42578125" bestFit="1" customWidth="1"/>
    <col min="13" max="13" width="13.85546875" bestFit="1" customWidth="1"/>
    <col min="15" max="15" width="16.140625" bestFit="1" customWidth="1"/>
    <col min="16" max="16" width="7.5703125" bestFit="1" customWidth="1"/>
    <col min="17" max="17" width="13.85546875" bestFit="1" customWidth="1"/>
    <col min="18" max="18" width="7.5703125" bestFit="1" customWidth="1"/>
    <col min="19" max="19" width="13.85546875" bestFit="1" customWidth="1"/>
    <col min="20" max="20" width="7.5703125" bestFit="1" customWidth="1"/>
    <col min="21" max="21" width="13.85546875" bestFit="1" customWidth="1"/>
    <col min="22" max="22" width="7.5703125" bestFit="1" customWidth="1"/>
    <col min="23" max="23" width="13.85546875" bestFit="1" customWidth="1"/>
    <col min="24" max="24" width="8.5703125" bestFit="1" customWidth="1"/>
    <col min="25" max="25" width="16.140625" bestFit="1" customWidth="1"/>
  </cols>
  <sheetData>
    <row r="1" spans="1:15" x14ac:dyDescent="0.25">
      <c r="A1" s="155" t="s">
        <v>208</v>
      </c>
      <c r="B1" s="155"/>
      <c r="C1" s="155"/>
      <c r="D1" s="155"/>
      <c r="E1" s="159" t="s">
        <v>209</v>
      </c>
      <c r="F1" s="160"/>
      <c r="G1" s="160"/>
      <c r="H1" s="160"/>
      <c r="I1" s="160"/>
      <c r="J1" s="160"/>
      <c r="K1" s="160"/>
      <c r="L1" s="160"/>
      <c r="M1" s="160"/>
      <c r="N1" s="240"/>
      <c r="O1" s="241"/>
    </row>
    <row r="2" spans="1:15" s="134" customFormat="1" x14ac:dyDescent="0.25">
      <c r="A2" s="156"/>
      <c r="B2" s="154"/>
      <c r="C2" s="154"/>
      <c r="D2" s="154"/>
      <c r="E2" s="161" t="s">
        <v>210</v>
      </c>
      <c r="F2" s="162"/>
      <c r="G2" s="162"/>
      <c r="H2" s="162"/>
      <c r="I2" s="162"/>
      <c r="J2" s="162"/>
      <c r="K2" s="162"/>
      <c r="L2" s="162"/>
      <c r="M2" s="162"/>
      <c r="N2" s="242"/>
      <c r="O2" s="243"/>
    </row>
    <row r="3" spans="1:15" x14ac:dyDescent="0.25">
      <c r="A3" s="156"/>
      <c r="B3" s="154"/>
      <c r="C3" s="154"/>
      <c r="D3" s="154"/>
      <c r="E3" s="161"/>
      <c r="F3" s="162"/>
      <c r="G3" s="162"/>
      <c r="H3" s="162"/>
      <c r="I3" s="162"/>
      <c r="J3" s="162"/>
      <c r="K3" s="162"/>
      <c r="L3" s="162"/>
      <c r="M3" s="162"/>
      <c r="N3" s="244"/>
      <c r="O3" s="245"/>
    </row>
    <row r="4" spans="1:15" ht="15.75" thickBot="1" x14ac:dyDescent="0.3">
      <c r="A4" s="254" t="s">
        <v>49</v>
      </c>
      <c r="B4" s="254"/>
      <c r="C4" s="254"/>
      <c r="D4" s="254"/>
      <c r="E4" s="254" t="s">
        <v>50</v>
      </c>
      <c r="F4" s="254"/>
      <c r="G4" s="254" t="s">
        <v>51</v>
      </c>
      <c r="H4" s="254"/>
      <c r="I4" s="254" t="s">
        <v>52</v>
      </c>
      <c r="J4" s="254"/>
      <c r="K4" s="254" t="s">
        <v>53</v>
      </c>
      <c r="L4" s="254"/>
      <c r="M4" s="254" t="s">
        <v>54</v>
      </c>
      <c r="N4" s="255"/>
      <c r="O4" s="157" t="s">
        <v>10</v>
      </c>
    </row>
    <row r="5" spans="1:15" x14ac:dyDescent="0.25">
      <c r="A5" s="253" t="str">
        <f>ORÇAMENTO!A10</f>
        <v>1- GRANITOS / FORRO DRYWALL</v>
      </c>
      <c r="B5" s="253"/>
      <c r="C5" s="253"/>
      <c r="D5" s="253"/>
      <c r="E5" s="58">
        <f>0.2*ORÇAMENTO!G14</f>
        <v>7348.17</v>
      </c>
      <c r="F5" s="153">
        <v>20</v>
      </c>
      <c r="G5" s="58">
        <f>0.3*ORÇAMENTO!G14</f>
        <v>11022.254999999999</v>
      </c>
      <c r="H5" s="153">
        <v>30</v>
      </c>
      <c r="I5" s="58">
        <f>0.5*ORÇAMENTO!G14</f>
        <v>18370.424999999999</v>
      </c>
      <c r="J5" s="153">
        <v>50</v>
      </c>
      <c r="K5" s="153"/>
      <c r="L5" s="153"/>
      <c r="M5" s="58"/>
      <c r="N5" s="78"/>
      <c r="O5" s="70">
        <f>E5+G5+I5</f>
        <v>36740.85</v>
      </c>
    </row>
    <row r="6" spans="1:15" s="134" customFormat="1" x14ac:dyDescent="0.25">
      <c r="A6" s="246" t="str">
        <f>ORÇAMENTO!A15</f>
        <v>2 - ESQUADRIAS</v>
      </c>
      <c r="B6" s="247"/>
      <c r="C6" s="247"/>
      <c r="D6" s="248"/>
      <c r="E6" s="58">
        <f>0.1*ORÇAMENTO!G34</f>
        <v>9146.7579999999998</v>
      </c>
      <c r="F6" s="153">
        <v>10</v>
      </c>
      <c r="G6" s="58">
        <f>0.3*ORÇAMENTO!G34</f>
        <v>27440.274000000001</v>
      </c>
      <c r="H6" s="153">
        <v>30</v>
      </c>
      <c r="I6" s="58">
        <f>0.3*ORÇAMENTO!G34</f>
        <v>27440.274000000001</v>
      </c>
      <c r="J6" s="153">
        <v>30</v>
      </c>
      <c r="K6" s="79">
        <f>0.15*ORÇAMENTO!G34</f>
        <v>13720.137000000001</v>
      </c>
      <c r="L6" s="57">
        <v>15</v>
      </c>
      <c r="M6" s="68">
        <f>0.15*ORÇAMENTO!G34</f>
        <v>13720.137000000001</v>
      </c>
      <c r="N6" s="55">
        <v>0.15</v>
      </c>
      <c r="O6" s="70">
        <f>E6+G6+I6+K6+M6</f>
        <v>91467.58</v>
      </c>
    </row>
    <row r="7" spans="1:15" s="134" customFormat="1" x14ac:dyDescent="0.25">
      <c r="A7" s="246" t="str">
        <f>ORÇAMENTO!A35</f>
        <v>3 - PAREDE DRYWALL / PAREDE DE ALVENARIA NA FACHADA</v>
      </c>
      <c r="B7" s="247"/>
      <c r="C7" s="247"/>
      <c r="D7" s="248"/>
      <c r="E7" s="58">
        <f>0.5*ORÇAMENTO!G42</f>
        <v>19538.63</v>
      </c>
      <c r="F7" s="153">
        <v>50</v>
      </c>
      <c r="G7" s="68">
        <f>0.4*ORÇAMENTO!G42</f>
        <v>15630.904000000002</v>
      </c>
      <c r="H7" s="55">
        <v>0.4</v>
      </c>
      <c r="I7" s="68">
        <f>0.1*ORÇAMENTO!G42</f>
        <v>3907.7260000000006</v>
      </c>
      <c r="J7" s="55">
        <v>0.1</v>
      </c>
      <c r="K7" s="68"/>
      <c r="L7" s="55"/>
      <c r="M7" s="68"/>
      <c r="N7" s="55">
        <v>0.1</v>
      </c>
      <c r="O7" s="70">
        <f>E7+G7+I7</f>
        <v>39077.26</v>
      </c>
    </row>
    <row r="8" spans="1:15" s="134" customFormat="1" x14ac:dyDescent="0.25">
      <c r="A8" s="256" t="s">
        <v>211</v>
      </c>
      <c r="B8" s="257"/>
      <c r="C8" s="257"/>
      <c r="D8" s="258"/>
      <c r="E8" s="58"/>
      <c r="F8" s="153"/>
      <c r="G8" s="68"/>
      <c r="H8" s="55"/>
      <c r="I8" s="68"/>
      <c r="J8" s="55"/>
      <c r="K8" s="68"/>
      <c r="L8" s="55"/>
      <c r="M8" s="68">
        <f>ORÇAMENTO!G54</f>
        <v>11982.69</v>
      </c>
      <c r="N8" s="55">
        <v>1</v>
      </c>
      <c r="O8" s="68">
        <f>M8</f>
        <v>11982.69</v>
      </c>
    </row>
    <row r="9" spans="1:15" s="134" customFormat="1" x14ac:dyDescent="0.25">
      <c r="A9" s="246" t="str">
        <f>ORÇAMENTO!A56</f>
        <v>5 - COBERTURA</v>
      </c>
      <c r="B9" s="247"/>
      <c r="C9" s="247"/>
      <c r="D9" s="248"/>
      <c r="E9" s="58">
        <f>0.5*ORÇAMENTO!G59</f>
        <v>7901.8590000000004</v>
      </c>
      <c r="F9" s="153">
        <v>50</v>
      </c>
      <c r="G9" s="58">
        <f>0.5*ORÇAMENTO!G59</f>
        <v>7901.8590000000004</v>
      </c>
      <c r="H9" s="78">
        <v>0.5</v>
      </c>
      <c r="I9" s="58"/>
      <c r="J9" s="78"/>
      <c r="K9" s="58"/>
      <c r="L9" s="78"/>
      <c r="M9" s="58"/>
      <c r="N9" s="78"/>
      <c r="O9" s="70">
        <f>E9+G9</f>
        <v>15803.718000000001</v>
      </c>
    </row>
    <row r="10" spans="1:15" x14ac:dyDescent="0.25">
      <c r="A10" s="252" t="str">
        <f>ORÇAMENTO!A61</f>
        <v>6 - INSTALAÇÃO HIDROSSANITÁRIA</v>
      </c>
      <c r="B10" s="252"/>
      <c r="C10" s="252"/>
      <c r="D10" s="252"/>
      <c r="E10" s="58">
        <f>0.8*ORÇAMENTO!G81</f>
        <v>9265.2515000000003</v>
      </c>
      <c r="F10" s="153">
        <v>80</v>
      </c>
      <c r="G10" s="58">
        <f>0.2*ORÇAMENTO!G81</f>
        <v>2316.3128750000001</v>
      </c>
      <c r="H10" s="153">
        <v>20</v>
      </c>
      <c r="I10" s="153" t="s">
        <v>55</v>
      </c>
      <c r="J10" s="153" t="s">
        <v>55</v>
      </c>
      <c r="K10" s="153" t="s">
        <v>55</v>
      </c>
      <c r="L10" s="153" t="s">
        <v>55</v>
      </c>
      <c r="M10" s="153" t="s">
        <v>55</v>
      </c>
      <c r="N10" s="153" t="s">
        <v>55</v>
      </c>
      <c r="O10" s="70">
        <f>E10+G10</f>
        <v>11581.564375</v>
      </c>
    </row>
    <row r="11" spans="1:15" x14ac:dyDescent="0.25">
      <c r="A11" s="252" t="str">
        <f>ORÇAMENTO!A83</f>
        <v>7 - INSTALAÇÕES ELÉTRICAS</v>
      </c>
      <c r="B11" s="252"/>
      <c r="C11" s="252"/>
      <c r="D11" s="252"/>
      <c r="E11" s="58">
        <f>0.4*ORÇAMENTO!G116</f>
        <v>9558.9520000000011</v>
      </c>
      <c r="F11" s="153">
        <v>40</v>
      </c>
      <c r="G11" s="58">
        <f>0.2*ORÇAMENTO!G116</f>
        <v>4779.4760000000006</v>
      </c>
      <c r="H11" s="153">
        <v>20</v>
      </c>
      <c r="I11" s="58">
        <f>0.2*ORÇAMENTO!G116</f>
        <v>4779.4760000000006</v>
      </c>
      <c r="J11" s="153">
        <v>20</v>
      </c>
      <c r="K11" s="58">
        <f>0.1*ORÇAMENTO!G116</f>
        <v>2389.7380000000003</v>
      </c>
      <c r="L11" s="153">
        <v>10</v>
      </c>
      <c r="M11" s="58">
        <f>0.1*ORÇAMENTO!G116</f>
        <v>2389.7380000000003</v>
      </c>
      <c r="N11" s="153">
        <v>10</v>
      </c>
      <c r="O11" s="70">
        <f>E11+G11+I11+K11+M11</f>
        <v>23897.380000000005</v>
      </c>
    </row>
    <row r="12" spans="1:15" x14ac:dyDescent="0.25">
      <c r="A12" s="252" t="str">
        <f>ORÇAMENTO!A118</f>
        <v>8 -PINTURAS E ACABAMENTOS</v>
      </c>
      <c r="B12" s="252"/>
      <c r="C12" s="252"/>
      <c r="D12" s="252"/>
      <c r="E12" s="153"/>
      <c r="F12" s="153"/>
      <c r="G12" s="58"/>
      <c r="H12" s="78"/>
      <c r="I12" s="58">
        <f>0.3*ORÇAMENTO!G126</f>
        <v>19735.623</v>
      </c>
      <c r="J12" s="78">
        <v>0.3</v>
      </c>
      <c r="K12" s="58">
        <f>0.3*ORÇAMENTO!G126</f>
        <v>19735.623</v>
      </c>
      <c r="L12" s="78">
        <v>0.3</v>
      </c>
      <c r="M12" s="58">
        <f>0.4*ORÇAMENTO!G126</f>
        <v>26314.164000000004</v>
      </c>
      <c r="N12" s="78">
        <v>0.4</v>
      </c>
      <c r="O12" s="70">
        <f>I12+K12+M12</f>
        <v>65785.41</v>
      </c>
    </row>
    <row r="13" spans="1:15" ht="15.75" thickBot="1" x14ac:dyDescent="0.3">
      <c r="A13" s="252" t="str">
        <f>ORÇAMENTO!A128</f>
        <v>9 -PISO INTERTRAVADO (PAVER PATIO)</v>
      </c>
      <c r="B13" s="252"/>
      <c r="C13" s="252"/>
      <c r="D13" s="252"/>
      <c r="E13" s="153"/>
      <c r="F13" s="153"/>
      <c r="G13" s="153"/>
      <c r="H13" s="153"/>
      <c r="I13" s="153"/>
      <c r="J13" s="153"/>
      <c r="K13" s="58"/>
      <c r="L13" s="153"/>
      <c r="M13" s="58">
        <f>1*ORÇAMENTO!G129</f>
        <v>4843.8</v>
      </c>
      <c r="N13" s="153">
        <v>100</v>
      </c>
      <c r="O13" s="158">
        <f>M13</f>
        <v>4843.8</v>
      </c>
    </row>
    <row r="14" spans="1:15" x14ac:dyDescent="0.25">
      <c r="A14" s="249" t="str">
        <f>ORÇAMENTO!A130</f>
        <v>10 SERVIÇOS FINAIS</v>
      </c>
      <c r="B14" s="249"/>
      <c r="C14" s="249"/>
      <c r="D14" s="249"/>
      <c r="E14" s="153"/>
      <c r="F14" s="153"/>
      <c r="G14" s="153"/>
      <c r="H14" s="153"/>
      <c r="I14" s="153"/>
      <c r="J14" s="153"/>
      <c r="K14" s="153"/>
      <c r="L14" s="153"/>
      <c r="M14" s="58">
        <f>1*ORÇAMENTO!G132</f>
        <v>1302.5999999999999</v>
      </c>
      <c r="N14" s="153">
        <v>100</v>
      </c>
      <c r="O14" s="165">
        <f>M14</f>
        <v>1302.5999999999999</v>
      </c>
    </row>
    <row r="15" spans="1:15" x14ac:dyDescent="0.25">
      <c r="A15" s="250" t="s">
        <v>56</v>
      </c>
      <c r="B15" s="250"/>
      <c r="C15" s="250"/>
      <c r="D15" s="250"/>
      <c r="E15" s="58">
        <f>(E5+E6+E7+E9+E10+E11)</f>
        <v>62759.620500000005</v>
      </c>
      <c r="F15" s="56">
        <f>E15/O15</f>
        <v>0.20748158121107116</v>
      </c>
      <c r="G15" s="58">
        <f>SUM(G5:G11)</f>
        <v>69091.080875</v>
      </c>
      <c r="H15" s="56">
        <f>G15/O15</f>
        <v>0.22841321526995206</v>
      </c>
      <c r="I15" s="58">
        <f>SUM(I5:I14)</f>
        <v>74233.524000000005</v>
      </c>
      <c r="J15" s="56">
        <f>I15/O15</f>
        <v>0.24541399096557634</v>
      </c>
      <c r="K15" s="58">
        <f>SUM(K5:K14)</f>
        <v>35845.498</v>
      </c>
      <c r="L15" s="56">
        <f>K15/O15</f>
        <v>0.11850423162355306</v>
      </c>
      <c r="M15" s="58">
        <f>SUM(M5:M14)</f>
        <v>60553.129000000008</v>
      </c>
      <c r="N15" s="56">
        <f>M15/O15</f>
        <v>0.20018698092984755</v>
      </c>
      <c r="O15" s="70">
        <f>SUM(O5:O14)</f>
        <v>302482.85237499996</v>
      </c>
    </row>
    <row r="16" spans="1:15" ht="15.75" thickBot="1" x14ac:dyDescent="0.3">
      <c r="A16" s="251" t="s">
        <v>57</v>
      </c>
      <c r="B16" s="251"/>
      <c r="C16" s="251"/>
      <c r="D16" s="251"/>
      <c r="E16" s="80">
        <f>E15</f>
        <v>62759.620500000005</v>
      </c>
      <c r="F16" s="56">
        <f>F15</f>
        <v>0.20748158121107116</v>
      </c>
      <c r="G16" s="82">
        <f t="shared" ref="G16:N16" si="0">G15+E16</f>
        <v>131850.701375</v>
      </c>
      <c r="H16" s="81">
        <f t="shared" si="0"/>
        <v>0.43589479648102325</v>
      </c>
      <c r="I16" s="82">
        <f t="shared" si="0"/>
        <v>206084.22537500001</v>
      </c>
      <c r="J16" s="81">
        <f t="shared" si="0"/>
        <v>0.68130878744659962</v>
      </c>
      <c r="K16" s="82">
        <f t="shared" si="0"/>
        <v>241929.723375</v>
      </c>
      <c r="L16" s="81">
        <f t="shared" si="0"/>
        <v>0.79981301907015268</v>
      </c>
      <c r="M16" s="82">
        <f t="shared" si="0"/>
        <v>302482.85237500002</v>
      </c>
      <c r="N16" s="81">
        <f t="shared" si="0"/>
        <v>1.0000000000000002</v>
      </c>
      <c r="O16" s="70"/>
    </row>
    <row r="17" spans="1:15" x14ac:dyDescent="0.25">
      <c r="A17" s="259" t="s">
        <v>114</v>
      </c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1"/>
    </row>
    <row r="18" spans="1:15" x14ac:dyDescent="0.25">
      <c r="A18" s="259"/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1"/>
    </row>
    <row r="19" spans="1:15" x14ac:dyDescent="0.25">
      <c r="A19" s="262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4"/>
    </row>
  </sheetData>
  <mergeCells count="20">
    <mergeCell ref="M4:N4"/>
    <mergeCell ref="A4:D4"/>
    <mergeCell ref="A8:D8"/>
    <mergeCell ref="A17:O19"/>
    <mergeCell ref="N1:O3"/>
    <mergeCell ref="A9:D9"/>
    <mergeCell ref="A14:D14"/>
    <mergeCell ref="A15:D15"/>
    <mergeCell ref="A16:D16"/>
    <mergeCell ref="A10:D10"/>
    <mergeCell ref="A11:D11"/>
    <mergeCell ref="A12:D12"/>
    <mergeCell ref="A13:D13"/>
    <mergeCell ref="A6:D6"/>
    <mergeCell ref="A7:D7"/>
    <mergeCell ref="A5:D5"/>
    <mergeCell ref="E4:F4"/>
    <mergeCell ref="G4:H4"/>
    <mergeCell ref="I4:J4"/>
    <mergeCell ref="K4:L4"/>
  </mergeCells>
  <pageMargins left="0.511811024" right="0.511811024" top="0.78740157499999996" bottom="0.78740157499999996" header="0.31496062000000002" footer="0.31496062000000002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O45"/>
  <sheetViews>
    <sheetView topLeftCell="A25" workbookViewId="0">
      <selection activeCell="C4" sqref="C4:P47"/>
    </sheetView>
  </sheetViews>
  <sheetFormatPr defaultRowHeight="15" x14ac:dyDescent="0.25"/>
  <cols>
    <col min="7" max="7" width="16.140625" customWidth="1"/>
    <col min="8" max="8" width="10.5703125" customWidth="1"/>
  </cols>
  <sheetData>
    <row r="4" spans="4:15" ht="15.75" thickBot="1" x14ac:dyDescent="0.3"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4:15" x14ac:dyDescent="0.25">
      <c r="D5" s="46" t="str">
        <f>ORÇAMENTO!B3</f>
        <v>OBRA – CENTRO ADMINISTRATIVO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4:15" x14ac:dyDescent="0.25">
      <c r="D6" s="49" t="str">
        <f>ORÇAMENTO!B4</f>
        <v>PROPRIETÁRIO –  MUNICÍPIO DE PAULO BENTO - RS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</row>
    <row r="7" spans="4:15" ht="15.75" thickBot="1" x14ac:dyDescent="0.3">
      <c r="D7" s="52" t="str">
        <f>ORÇAMENTO!B5</f>
        <v>LOCAL –  RUA DO COMERCIO - LOTE URBANO N°4 - QUADRA 11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4"/>
    </row>
    <row r="8" spans="4:15" x14ac:dyDescent="0.25">
      <c r="D8" s="265" t="s">
        <v>58</v>
      </c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7"/>
    </row>
    <row r="9" spans="4:15" x14ac:dyDescent="0.25">
      <c r="D9" s="4"/>
      <c r="E9" s="5"/>
      <c r="F9" s="6"/>
      <c r="G9" s="6"/>
      <c r="H9" s="6"/>
      <c r="I9" s="6"/>
      <c r="J9" s="6"/>
      <c r="K9" s="6"/>
      <c r="L9" s="6"/>
      <c r="M9" s="6"/>
      <c r="N9" s="6"/>
      <c r="O9" s="7"/>
    </row>
    <row r="10" spans="4:15" x14ac:dyDescent="0.25">
      <c r="D10" s="4"/>
      <c r="E10" s="5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4:15" x14ac:dyDescent="0.25">
      <c r="D11" s="4"/>
      <c r="E11" s="6" t="s">
        <v>59</v>
      </c>
      <c r="F11" s="8" t="s">
        <v>112</v>
      </c>
      <c r="G11" s="6"/>
      <c r="H11" s="6"/>
      <c r="I11" s="6"/>
      <c r="J11" s="6"/>
      <c r="K11" s="6"/>
      <c r="L11" s="6"/>
      <c r="M11" s="6"/>
      <c r="N11" s="6"/>
      <c r="O11" s="7"/>
    </row>
    <row r="12" spans="4:15" x14ac:dyDescent="0.25">
      <c r="D12" s="4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4:15" x14ac:dyDescent="0.25">
      <c r="D13" s="4"/>
      <c r="E13" s="6"/>
      <c r="F13" s="9" t="s">
        <v>60</v>
      </c>
      <c r="G13" s="6"/>
      <c r="H13" s="6"/>
      <c r="I13" s="6"/>
      <c r="J13" s="6"/>
      <c r="K13" s="6"/>
      <c r="L13" s="6"/>
      <c r="M13" s="6"/>
      <c r="N13" s="6"/>
      <c r="O13" s="7"/>
    </row>
    <row r="14" spans="4:15" x14ac:dyDescent="0.25"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</row>
    <row r="15" spans="4:15" x14ac:dyDescent="0.25">
      <c r="D15" s="10"/>
      <c r="E15" s="13" t="s">
        <v>61</v>
      </c>
      <c r="F15" s="14" t="s">
        <v>62</v>
      </c>
      <c r="G15" s="15"/>
      <c r="H15" s="16">
        <v>5.75</v>
      </c>
      <c r="I15" s="17" t="s">
        <v>63</v>
      </c>
      <c r="J15" s="11"/>
      <c r="K15" s="11"/>
      <c r="L15" s="11"/>
      <c r="M15" s="11"/>
      <c r="N15" s="11"/>
      <c r="O15" s="12"/>
    </row>
    <row r="16" spans="4:15" x14ac:dyDescent="0.25">
      <c r="D16" s="10"/>
      <c r="E16" s="13"/>
      <c r="F16" s="11"/>
      <c r="G16" s="11"/>
      <c r="H16" s="18"/>
      <c r="I16" s="11"/>
      <c r="J16" s="11"/>
      <c r="K16" s="11"/>
      <c r="L16" s="11"/>
      <c r="M16" s="11"/>
      <c r="N16" s="11"/>
      <c r="O16" s="12"/>
    </row>
    <row r="17" spans="4:15" x14ac:dyDescent="0.25">
      <c r="D17" s="10"/>
      <c r="E17" s="13" t="s">
        <v>64</v>
      </c>
      <c r="F17" s="14" t="s">
        <v>65</v>
      </c>
      <c r="G17" s="15"/>
      <c r="H17" s="16">
        <v>1.36</v>
      </c>
      <c r="I17" s="17" t="s">
        <v>63</v>
      </c>
      <c r="J17" s="11"/>
      <c r="K17" s="11"/>
      <c r="L17" s="11"/>
      <c r="M17" s="11"/>
      <c r="N17" s="11"/>
      <c r="O17" s="12"/>
    </row>
    <row r="18" spans="4:15" x14ac:dyDescent="0.25">
      <c r="D18" s="10"/>
      <c r="E18" s="13"/>
      <c r="F18" s="11"/>
      <c r="G18" s="11"/>
      <c r="H18" s="18"/>
      <c r="I18" s="11"/>
      <c r="J18" s="11"/>
      <c r="K18" s="11"/>
      <c r="L18" s="11"/>
      <c r="M18" s="11"/>
      <c r="N18" s="11"/>
      <c r="O18" s="12"/>
    </row>
    <row r="19" spans="4:15" x14ac:dyDescent="0.25">
      <c r="D19" s="10"/>
      <c r="E19" s="13" t="s">
        <v>66</v>
      </c>
      <c r="F19" s="14" t="s">
        <v>67</v>
      </c>
      <c r="G19" s="15"/>
      <c r="H19" s="16">
        <v>0.95</v>
      </c>
      <c r="I19" s="17" t="s">
        <v>63</v>
      </c>
      <c r="J19" s="11"/>
      <c r="K19" s="11"/>
      <c r="L19" s="11"/>
      <c r="M19" s="11"/>
      <c r="N19" s="11"/>
      <c r="O19" s="12"/>
    </row>
    <row r="20" spans="4:15" x14ac:dyDescent="0.25">
      <c r="D20" s="10"/>
      <c r="E20" s="13"/>
      <c r="F20" s="11"/>
      <c r="G20" s="11"/>
      <c r="H20" s="18"/>
      <c r="I20" s="11"/>
      <c r="J20" s="11"/>
      <c r="K20" s="11"/>
      <c r="L20" s="11"/>
      <c r="M20" s="11"/>
      <c r="N20" s="11"/>
      <c r="O20" s="12"/>
    </row>
    <row r="21" spans="4:15" x14ac:dyDescent="0.25">
      <c r="D21" s="10"/>
      <c r="E21" s="13"/>
      <c r="F21" s="19" t="s">
        <v>68</v>
      </c>
      <c r="G21" s="20"/>
      <c r="H21" s="21">
        <v>2</v>
      </c>
      <c r="I21" s="22" t="s">
        <v>63</v>
      </c>
      <c r="J21" s="11"/>
      <c r="K21" s="11"/>
      <c r="L21" s="11"/>
      <c r="M21" s="11"/>
      <c r="N21" s="11"/>
      <c r="O21" s="12"/>
    </row>
    <row r="22" spans="4:15" x14ac:dyDescent="0.25">
      <c r="D22" s="10"/>
      <c r="E22" s="13" t="s">
        <v>69</v>
      </c>
      <c r="F22" s="23" t="s">
        <v>70</v>
      </c>
      <c r="G22" s="24"/>
      <c r="H22" s="25">
        <v>0.65</v>
      </c>
      <c r="I22" s="26" t="s">
        <v>63</v>
      </c>
      <c r="J22" s="11"/>
      <c r="K22" s="11"/>
      <c r="L22" s="11"/>
      <c r="M22" s="11"/>
      <c r="N22" s="11"/>
      <c r="O22" s="12"/>
    </row>
    <row r="23" spans="4:15" x14ac:dyDescent="0.25">
      <c r="D23" s="10"/>
      <c r="E23" s="13"/>
      <c r="F23" s="23" t="s">
        <v>71</v>
      </c>
      <c r="G23" s="24"/>
      <c r="H23" s="25">
        <v>3</v>
      </c>
      <c r="I23" s="26" t="s">
        <v>63</v>
      </c>
      <c r="J23" s="11"/>
      <c r="K23" s="11"/>
      <c r="L23" s="11"/>
      <c r="M23" s="11"/>
      <c r="N23" s="11"/>
      <c r="O23" s="12"/>
    </row>
    <row r="24" spans="4:15" x14ac:dyDescent="0.25">
      <c r="D24" s="10"/>
      <c r="E24" s="13"/>
      <c r="F24" s="27" t="s">
        <v>72</v>
      </c>
      <c r="G24" s="28"/>
      <c r="H24" s="16">
        <f>SUM(H21:H23)</f>
        <v>5.65</v>
      </c>
      <c r="I24" s="17" t="s">
        <v>63</v>
      </c>
      <c r="J24" s="11"/>
      <c r="K24" s="11"/>
      <c r="L24" s="11"/>
      <c r="M24" s="11"/>
      <c r="N24" s="11"/>
      <c r="O24" s="12"/>
    </row>
    <row r="25" spans="4:15" x14ac:dyDescent="0.25">
      <c r="D25" s="10"/>
      <c r="E25" s="13"/>
      <c r="F25" s="11"/>
      <c r="G25" s="11"/>
      <c r="H25" s="18"/>
      <c r="I25" s="11"/>
      <c r="J25" s="11"/>
      <c r="K25" s="11"/>
      <c r="L25" s="11"/>
      <c r="M25" s="11"/>
      <c r="N25" s="11"/>
      <c r="O25" s="12"/>
    </row>
    <row r="26" spans="4:15" x14ac:dyDescent="0.25">
      <c r="D26" s="10"/>
      <c r="E26" s="13" t="s">
        <v>73</v>
      </c>
      <c r="F26" s="14" t="s">
        <v>74</v>
      </c>
      <c r="G26" s="15"/>
      <c r="H26" s="16">
        <v>9</v>
      </c>
      <c r="I26" s="17" t="s">
        <v>63</v>
      </c>
      <c r="J26" s="11"/>
      <c r="K26" s="11"/>
      <c r="L26" s="11"/>
      <c r="M26" s="11"/>
      <c r="N26" s="11"/>
      <c r="O26" s="12"/>
    </row>
    <row r="27" spans="4:15" x14ac:dyDescent="0.25">
      <c r="D27" s="10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2"/>
    </row>
    <row r="28" spans="4:15" x14ac:dyDescent="0.25">
      <c r="D28" s="10"/>
      <c r="E28" s="11"/>
      <c r="F28" s="11"/>
      <c r="G28" s="18"/>
      <c r="H28" s="11"/>
      <c r="I28" s="11"/>
      <c r="J28" s="11"/>
      <c r="K28" s="11"/>
      <c r="L28" s="11"/>
      <c r="M28" s="11"/>
      <c r="N28" s="11"/>
      <c r="O28" s="12"/>
    </row>
    <row r="29" spans="4:15" x14ac:dyDescent="0.25">
      <c r="D29" s="10"/>
      <c r="E29" s="29" t="s">
        <v>75</v>
      </c>
      <c r="F29" s="11"/>
      <c r="G29" s="11"/>
      <c r="H29" s="11"/>
      <c r="I29" s="11"/>
      <c r="J29" s="11"/>
      <c r="K29" s="11"/>
      <c r="L29" s="11"/>
      <c r="M29" s="11"/>
      <c r="N29" s="11"/>
      <c r="O29" s="12"/>
    </row>
    <row r="30" spans="4:15" x14ac:dyDescent="0.25">
      <c r="D30" s="30"/>
      <c r="E30" s="31"/>
      <c r="F30" s="31"/>
      <c r="G30" s="31"/>
      <c r="H30" s="31"/>
      <c r="I30" s="31"/>
      <c r="J30" s="31"/>
      <c r="K30" s="31"/>
      <c r="L30" s="22"/>
      <c r="M30" s="11"/>
      <c r="N30" s="11"/>
      <c r="O30" s="12"/>
    </row>
    <row r="31" spans="4:15" ht="18.75" x14ac:dyDescent="0.3">
      <c r="D31" s="10"/>
      <c r="E31" s="29" t="s">
        <v>76</v>
      </c>
      <c r="F31" s="32" t="s">
        <v>77</v>
      </c>
      <c r="G31" s="33" t="s">
        <v>78</v>
      </c>
      <c r="H31" s="24">
        <v>1</v>
      </c>
      <c r="I31" s="13"/>
      <c r="J31" s="13" t="s">
        <v>79</v>
      </c>
      <c r="K31" s="34">
        <v>100</v>
      </c>
      <c r="L31" s="26"/>
      <c r="M31" s="11"/>
      <c r="N31" s="11"/>
      <c r="O31" s="12"/>
    </row>
    <row r="32" spans="4:15" x14ac:dyDescent="0.25">
      <c r="D32" s="10"/>
      <c r="E32" s="11"/>
      <c r="F32" s="24" t="s">
        <v>80</v>
      </c>
      <c r="G32" s="24"/>
      <c r="H32" s="11"/>
      <c r="I32" s="11"/>
      <c r="J32" s="11"/>
      <c r="K32" s="11"/>
      <c r="L32" s="26"/>
      <c r="M32" s="11"/>
      <c r="N32" s="11"/>
      <c r="O32" s="12"/>
    </row>
    <row r="33" spans="4:15" x14ac:dyDescent="0.25">
      <c r="D33" s="35"/>
      <c r="E33" s="36"/>
      <c r="F33" s="36"/>
      <c r="G33" s="36"/>
      <c r="H33" s="36"/>
      <c r="I33" s="36"/>
      <c r="J33" s="36"/>
      <c r="K33" s="36"/>
      <c r="L33" s="37"/>
      <c r="M33" s="11"/>
      <c r="N33" s="11"/>
      <c r="O33" s="12"/>
    </row>
    <row r="34" spans="4:15" x14ac:dyDescent="0.25">
      <c r="D34" s="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2"/>
    </row>
    <row r="35" spans="4:15" x14ac:dyDescent="0.25">
      <c r="D35" s="10"/>
      <c r="E35" s="29" t="s">
        <v>81</v>
      </c>
      <c r="F35" s="11"/>
      <c r="G35" s="11"/>
      <c r="H35" s="11"/>
      <c r="I35" s="11"/>
      <c r="J35" s="11"/>
      <c r="K35" s="11"/>
      <c r="L35" s="11"/>
      <c r="M35" s="11"/>
      <c r="N35" s="11"/>
      <c r="O35" s="12"/>
    </row>
    <row r="36" spans="4:15" x14ac:dyDescent="0.25">
      <c r="D36" s="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2"/>
    </row>
    <row r="37" spans="4:15" ht="18.75" x14ac:dyDescent="0.3">
      <c r="D37" s="10"/>
      <c r="E37" s="29" t="s">
        <v>82</v>
      </c>
      <c r="F37" s="38">
        <f>((1+(H15/100))*(1+(H17/100))*(1+H19/100)*(1+(H26/100)))</f>
        <v>1.1794507181100005</v>
      </c>
      <c r="G37" s="33" t="s">
        <v>78</v>
      </c>
      <c r="H37" s="24">
        <v>1</v>
      </c>
      <c r="I37" s="13"/>
      <c r="J37" s="13" t="s">
        <v>79</v>
      </c>
      <c r="K37" s="34">
        <v>100</v>
      </c>
      <c r="L37" s="13" t="s">
        <v>83</v>
      </c>
      <c r="M37" s="39">
        <v>25</v>
      </c>
      <c r="N37" s="18" t="s">
        <v>63</v>
      </c>
      <c r="O37" s="12"/>
    </row>
    <row r="38" spans="4:15" x14ac:dyDescent="0.25">
      <c r="D38" s="10"/>
      <c r="E38" s="11"/>
      <c r="F38" s="40">
        <f>(1-(H24/100))</f>
        <v>0.94350000000000001</v>
      </c>
      <c r="G38" s="24"/>
      <c r="H38" s="11"/>
      <c r="I38" s="11"/>
      <c r="J38" s="11"/>
      <c r="K38" s="11"/>
      <c r="L38" s="11"/>
      <c r="M38" s="11"/>
      <c r="N38" s="11"/>
      <c r="O38" s="12"/>
    </row>
    <row r="39" spans="4:15" x14ac:dyDescent="0.25">
      <c r="D39" s="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2"/>
    </row>
    <row r="40" spans="4:15" x14ac:dyDescent="0.25">
      <c r="D40" s="10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2"/>
    </row>
    <row r="41" spans="4:15" ht="15.75" x14ac:dyDescent="0.25">
      <c r="D41" s="268" t="s">
        <v>84</v>
      </c>
      <c r="E41" s="269"/>
      <c r="F41" s="269"/>
      <c r="G41" s="269"/>
      <c r="H41" s="42">
        <v>25</v>
      </c>
      <c r="I41" s="43" t="s">
        <v>63</v>
      </c>
      <c r="J41" s="41"/>
      <c r="K41" s="41"/>
      <c r="L41" s="11"/>
      <c r="M41" s="11"/>
      <c r="N41" s="11"/>
      <c r="O41" s="12"/>
    </row>
    <row r="42" spans="4:15" x14ac:dyDescent="0.25">
      <c r="D42" s="10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2"/>
    </row>
    <row r="43" spans="4:15" x14ac:dyDescent="0.25">
      <c r="D43" s="4"/>
      <c r="E43" s="6"/>
      <c r="F43" s="6"/>
      <c r="G43" s="6"/>
      <c r="H43" s="6"/>
      <c r="I43" s="6"/>
      <c r="J43" s="6"/>
      <c r="K43" s="6"/>
      <c r="L43" s="6"/>
      <c r="M43" s="6"/>
      <c r="N43" s="6"/>
      <c r="O43" s="7"/>
    </row>
    <row r="44" spans="4:15" x14ac:dyDescent="0.25">
      <c r="D44" s="4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</row>
    <row r="45" spans="4:15" ht="15.75" thickBot="1" x14ac:dyDescent="0.3">
      <c r="D45" s="270" t="s">
        <v>85</v>
      </c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2"/>
    </row>
  </sheetData>
  <mergeCells count="3">
    <mergeCell ref="D8:O8"/>
    <mergeCell ref="D41:G41"/>
    <mergeCell ref="D45:O45"/>
  </mergeCells>
  <pageMargins left="0.511811024" right="0.511811024" top="0.78740157499999996" bottom="0.78740157499999996" header="0.31496062000000002" footer="0.31496062000000002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ORÇAMENTO</vt:lpstr>
      <vt:lpstr>COMPOSIÇÕES</vt:lpstr>
      <vt:lpstr>CRONOGRAMA</vt:lpstr>
      <vt:lpstr>BDI</vt:lpstr>
      <vt:lpstr>BDI!Area_de_impressao</vt:lpstr>
      <vt:lpstr>ORÇAMENTO!Area_de_impressao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Usuario</cp:lastModifiedBy>
  <cp:lastPrinted>2021-07-30T18:48:13Z</cp:lastPrinted>
  <dcterms:created xsi:type="dcterms:W3CDTF">2018-05-16T23:35:20Z</dcterms:created>
  <dcterms:modified xsi:type="dcterms:W3CDTF">2021-09-15T11:08:47Z</dcterms:modified>
</cp:coreProperties>
</file>